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440" windowHeight="11775" firstSheet="7" activeTab="7"/>
  </bookViews>
  <sheets>
    <sheet name="Смарт 2015" sheetId="1" state="hidden" r:id="rId1"/>
    <sheet name="Нормативы" sheetId="11" state="hidden" r:id="rId2"/>
    <sheet name="Методика 2016" sheetId="10" state="hidden" r:id="rId3"/>
    <sheet name="Численность 2016" sheetId="6" state="hidden" r:id="rId4"/>
    <sheet name="Фонды2015-2017" sheetId="2" state="hidden" r:id="rId5"/>
    <sheet name="старое не смотреть" sheetId="4" state="hidden" r:id="rId6"/>
    <sheet name="не смотреть Субвенции 2017" sheetId="17" state="hidden" r:id="rId7"/>
    <sheet name="Лист1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44525"/>
</workbook>
</file>

<file path=xl/calcChain.xml><?xml version="1.0" encoding="utf-8"?>
<calcChain xmlns="http://schemas.openxmlformats.org/spreadsheetml/2006/main">
  <c r="CV9" i="18" l="1"/>
  <c r="C10" i="18" l="1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AL10" i="18"/>
  <c r="AM10" i="18"/>
  <c r="AN10" i="18"/>
  <c r="AO10" i="18"/>
  <c r="AP10" i="18"/>
  <c r="AQ10" i="18"/>
  <c r="AR10" i="18"/>
  <c r="AS10" i="18"/>
  <c r="AT10" i="18"/>
  <c r="AU10" i="18"/>
  <c r="AV10" i="18"/>
  <c r="AW10" i="18"/>
  <c r="AX10" i="18"/>
  <c r="AY10" i="18"/>
  <c r="AZ10" i="18"/>
  <c r="BA10" i="18"/>
  <c r="BB10" i="18"/>
  <c r="BC10" i="18"/>
  <c r="BD10" i="18"/>
  <c r="BE10" i="18"/>
  <c r="BF10" i="18"/>
  <c r="BG10" i="18"/>
  <c r="BH10" i="18"/>
  <c r="BI10" i="18"/>
  <c r="BJ10" i="18"/>
  <c r="BK10" i="18"/>
  <c r="BL10" i="18"/>
  <c r="BM10" i="18"/>
  <c r="BN10" i="18"/>
  <c r="BO10" i="18"/>
  <c r="BP10" i="18"/>
  <c r="BQ10" i="18"/>
  <c r="BR10" i="18"/>
  <c r="BS10" i="18"/>
  <c r="BT10" i="18"/>
  <c r="BU10" i="18"/>
  <c r="BV10" i="18"/>
  <c r="BW10" i="18"/>
  <c r="BX10" i="18"/>
  <c r="BY10" i="18"/>
  <c r="BZ10" i="18"/>
  <c r="CA10" i="18"/>
  <c r="CB10" i="18"/>
  <c r="CC10" i="18"/>
  <c r="CD10" i="18"/>
  <c r="CE10" i="18"/>
  <c r="CF10" i="18"/>
  <c r="CG10" i="18"/>
  <c r="CH10" i="18"/>
  <c r="CI10" i="18"/>
  <c r="CJ10" i="18"/>
  <c r="CK10" i="18"/>
  <c r="CL10" i="18"/>
  <c r="CM10" i="18"/>
  <c r="CN10" i="18"/>
  <c r="CO10" i="18"/>
  <c r="CP10" i="18"/>
  <c r="CQ10" i="18"/>
  <c r="CR10" i="18"/>
  <c r="CS10" i="18"/>
  <c r="CT10" i="18"/>
  <c r="CU10" i="18"/>
  <c r="CV10" i="18" l="1"/>
  <c r="CV8" i="18"/>
  <c r="DP42" i="17"/>
  <c r="DR41" i="17" l="1"/>
  <c r="DM36" i="17" l="1"/>
  <c r="DM41" i="17" s="1"/>
  <c r="DM43" i="17" s="1"/>
  <c r="DK14" i="17" l="1"/>
  <c r="DK16" i="17"/>
  <c r="DK18" i="17"/>
  <c r="DK20" i="17"/>
  <c r="DI13" i="17"/>
  <c r="DK13" i="17" s="1"/>
  <c r="DI14" i="17"/>
  <c r="DI15" i="17"/>
  <c r="DK15" i="17" s="1"/>
  <c r="DI16" i="17"/>
  <c r="DI17" i="17"/>
  <c r="DK17" i="17" s="1"/>
  <c r="DI18" i="17"/>
  <c r="DI19" i="17"/>
  <c r="DK19" i="17" s="1"/>
  <c r="DI20" i="17"/>
  <c r="DI21" i="17"/>
  <c r="DK21" i="17" s="1"/>
  <c r="DI22" i="17"/>
  <c r="DK22" i="17" s="1"/>
  <c r="DI23" i="17"/>
  <c r="DK23" i="17" s="1"/>
  <c r="DI24" i="17"/>
  <c r="DK24" i="17" s="1"/>
  <c r="DI25" i="17"/>
  <c r="DK25" i="17" s="1"/>
  <c r="DI26" i="17"/>
  <c r="DK26" i="17" s="1"/>
  <c r="DI27" i="17"/>
  <c r="DK27" i="17" s="1"/>
  <c r="DI28" i="17"/>
  <c r="DK28" i="17" s="1"/>
  <c r="DI29" i="17"/>
  <c r="DK29" i="17" s="1"/>
  <c r="DI30" i="17"/>
  <c r="DK30" i="17" s="1"/>
  <c r="DI31" i="17"/>
  <c r="DK31" i="17" s="1"/>
  <c r="DI32" i="17"/>
  <c r="DK32" i="17" s="1"/>
  <c r="DI33" i="17"/>
  <c r="DK33" i="17" s="1"/>
  <c r="DI34" i="17"/>
  <c r="DK34" i="17" s="1"/>
  <c r="DI35" i="17"/>
  <c r="DK35" i="17" s="1"/>
  <c r="DI36" i="17"/>
  <c r="DK36" i="17" s="1"/>
  <c r="DI37" i="17"/>
  <c r="DK37" i="17" s="1"/>
  <c r="DI38" i="17"/>
  <c r="DK38" i="17" s="1"/>
  <c r="DI39" i="17"/>
  <c r="DK39" i="17" s="1"/>
  <c r="DI40" i="17"/>
  <c r="DK40" i="17" s="1"/>
  <c r="DI12" i="17"/>
  <c r="DI41" i="17" s="1"/>
  <c r="DH41" i="17"/>
  <c r="DG41" i="17"/>
  <c r="DF41" i="17"/>
  <c r="DJ41" i="17"/>
  <c r="DC13" i="17"/>
  <c r="DC14" i="17"/>
  <c r="DC15" i="17"/>
  <c r="DC16" i="17"/>
  <c r="DC17" i="17"/>
  <c r="DC18" i="17"/>
  <c r="DC19" i="17"/>
  <c r="DC20" i="17"/>
  <c r="DC21" i="17"/>
  <c r="DC22" i="17"/>
  <c r="DC23" i="17"/>
  <c r="DC24" i="17"/>
  <c r="DC25" i="17"/>
  <c r="DC26" i="17"/>
  <c r="DC27" i="17"/>
  <c r="DC28" i="17"/>
  <c r="DC29" i="17"/>
  <c r="DC30" i="17"/>
  <c r="DC31" i="17"/>
  <c r="DC32" i="17"/>
  <c r="DC33" i="17"/>
  <c r="DC34" i="17"/>
  <c r="DC35" i="17"/>
  <c r="DC36" i="17"/>
  <c r="DC37" i="17"/>
  <c r="DC38" i="17"/>
  <c r="DC39" i="17"/>
  <c r="DC40" i="17"/>
  <c r="DC12" i="17"/>
  <c r="DC41" i="17" s="1"/>
  <c r="DA41" i="17"/>
  <c r="DB41" i="17"/>
  <c r="DK12" i="17" l="1"/>
  <c r="DK41" i="17" s="1"/>
  <c r="AL44" i="17" l="1"/>
  <c r="AK44" i="17" s="1"/>
  <c r="AH44" i="17" s="1"/>
  <c r="CN43" i="17"/>
  <c r="CL43" i="17"/>
  <c r="AE43" i="17"/>
  <c r="CK42" i="17"/>
  <c r="CY41" i="17"/>
  <c r="CX41" i="17"/>
  <c r="CX42" i="17" s="1"/>
  <c r="CW41" i="17"/>
  <c r="CM41" i="17"/>
  <c r="CL42" i="17" s="1"/>
  <c r="CL41" i="17"/>
  <c r="CK41" i="17"/>
  <c r="CJ41" i="17"/>
  <c r="CI41" i="17"/>
  <c r="CH41" i="17"/>
  <c r="CG41" i="17"/>
  <c r="CF41" i="17"/>
  <c r="CE41" i="17"/>
  <c r="CD41" i="17"/>
  <c r="CC41" i="17"/>
  <c r="CB41" i="17"/>
  <c r="CA41" i="17"/>
  <c r="BZ41" i="17"/>
  <c r="BY41" i="17"/>
  <c r="BX41" i="17"/>
  <c r="BW41" i="17"/>
  <c r="BV41" i="17"/>
  <c r="BU41" i="17"/>
  <c r="BU42" i="17" s="1"/>
  <c r="BT41" i="17"/>
  <c r="BS41" i="17"/>
  <c r="BR41" i="17"/>
  <c r="BQ41" i="17"/>
  <c r="BP41" i="17"/>
  <c r="BO41" i="17"/>
  <c r="BN41" i="17"/>
  <c r="BM41" i="17"/>
  <c r="BL41" i="17"/>
  <c r="BK41" i="17"/>
  <c r="BJ41" i="17"/>
  <c r="BH41" i="17"/>
  <c r="BG41" i="17"/>
  <c r="BE41" i="17"/>
  <c r="AY41" i="17"/>
  <c r="AX41" i="17"/>
  <c r="AU41" i="17"/>
  <c r="AT41" i="17"/>
  <c r="AS41" i="17"/>
  <c r="AR41" i="17"/>
  <c r="AQ41" i="17"/>
  <c r="AP41" i="17"/>
  <c r="AO41" i="17"/>
  <c r="AN41" i="17"/>
  <c r="AM41" i="17"/>
  <c r="AL41" i="17"/>
  <c r="AK41" i="17"/>
  <c r="AJ41" i="17"/>
  <c r="AD41" i="17"/>
  <c r="AC41" i="17"/>
  <c r="AA41" i="17"/>
  <c r="Z41" i="17"/>
  <c r="Y41" i="17"/>
  <c r="X41" i="17"/>
  <c r="W41" i="17"/>
  <c r="V41" i="17"/>
  <c r="V42" i="17" s="1"/>
  <c r="U41" i="17"/>
  <c r="T41" i="17"/>
  <c r="S41" i="17"/>
  <c r="R41" i="17"/>
  <c r="Q42" i="17" s="1"/>
  <c r="Q41" i="17"/>
  <c r="H41" i="17"/>
  <c r="G41" i="17"/>
  <c r="F41" i="17"/>
  <c r="E41" i="17"/>
  <c r="D41" i="17"/>
  <c r="C41" i="17"/>
  <c r="B41" i="17"/>
  <c r="CV40" i="17"/>
  <c r="CO40" i="17"/>
  <c r="CO41" i="17" s="1"/>
  <c r="CN40" i="17"/>
  <c r="CN41" i="17" s="1"/>
  <c r="BD40" i="17"/>
  <c r="BC40" i="17"/>
  <c r="BB40" i="17" s="1"/>
  <c r="AH40" i="17"/>
  <c r="AI40" i="17" s="1"/>
  <c r="AG40" i="17"/>
  <c r="AB40" i="17"/>
  <c r="M40" i="17"/>
  <c r="L40" i="17"/>
  <c r="I40" i="17"/>
  <c r="CV39" i="17"/>
  <c r="CT39" i="17"/>
  <c r="CP39" i="17"/>
  <c r="BD39" i="17"/>
  <c r="BC39" i="17"/>
  <c r="BB39" i="17"/>
  <c r="AH39" i="17"/>
  <c r="AI39" i="17" s="1"/>
  <c r="AG39" i="17"/>
  <c r="AB39" i="17"/>
  <c r="M39" i="17"/>
  <c r="L39" i="17"/>
  <c r="I39" i="17"/>
  <c r="CV38" i="17"/>
  <c r="CT38" i="17"/>
  <c r="CP38" i="17"/>
  <c r="BD38" i="17"/>
  <c r="BC38" i="17"/>
  <c r="BB38" i="17" s="1"/>
  <c r="AH38" i="17"/>
  <c r="AI38" i="17" s="1"/>
  <c r="AG38" i="17"/>
  <c r="AB38" i="17"/>
  <c r="M38" i="17"/>
  <c r="P38" i="17" s="1"/>
  <c r="L38" i="17"/>
  <c r="I38" i="17"/>
  <c r="CV37" i="17"/>
  <c r="CT37" i="17"/>
  <c r="CP37" i="17"/>
  <c r="BF37" i="17"/>
  <c r="BD37" i="17"/>
  <c r="BC37" i="17"/>
  <c r="BB37" i="17" s="1"/>
  <c r="AH37" i="17"/>
  <c r="AI37" i="17" s="1"/>
  <c r="AF37" i="17" s="1"/>
  <c r="AG37" i="17"/>
  <c r="AB37" i="17"/>
  <c r="M37" i="17"/>
  <c r="P37" i="17" s="1"/>
  <c r="L37" i="17"/>
  <c r="I37" i="17"/>
  <c r="CV36" i="17"/>
  <c r="CT36" i="17"/>
  <c r="CP36" i="17"/>
  <c r="BI36" i="17"/>
  <c r="BI41" i="17" s="1"/>
  <c r="BF36" i="17"/>
  <c r="BD36" i="17"/>
  <c r="BC36" i="17"/>
  <c r="BB36" i="17"/>
  <c r="AH36" i="17"/>
  <c r="AI36" i="17" s="1"/>
  <c r="AG36" i="17"/>
  <c r="AB36" i="17"/>
  <c r="M36" i="17"/>
  <c r="L36" i="17"/>
  <c r="I36" i="17"/>
  <c r="CV35" i="17"/>
  <c r="CU35" i="17"/>
  <c r="CT35" i="17"/>
  <c r="CS35" i="17"/>
  <c r="DN35" i="17" s="1"/>
  <c r="CP35" i="17"/>
  <c r="BD35" i="17"/>
  <c r="BC35" i="17"/>
  <c r="BB35" i="17"/>
  <c r="AH35" i="17"/>
  <c r="AG35" i="17"/>
  <c r="AF35" i="17" s="1"/>
  <c r="AB35" i="17"/>
  <c r="M35" i="17"/>
  <c r="L35" i="17"/>
  <c r="I35" i="17"/>
  <c r="CV34" i="17"/>
  <c r="CT34" i="17"/>
  <c r="CP34" i="17"/>
  <c r="BD34" i="17"/>
  <c r="BC34" i="17"/>
  <c r="BB34" i="17" s="1"/>
  <c r="AH34" i="17"/>
  <c r="AI34" i="17" s="1"/>
  <c r="AF34" i="17" s="1"/>
  <c r="AG34" i="17"/>
  <c r="AB34" i="17"/>
  <c r="M34" i="17"/>
  <c r="L34" i="17"/>
  <c r="I34" i="17"/>
  <c r="CV33" i="17"/>
  <c r="CT33" i="17"/>
  <c r="CP33" i="17"/>
  <c r="BD33" i="17"/>
  <c r="BC33" i="17"/>
  <c r="BB33" i="17" s="1"/>
  <c r="AI33" i="17"/>
  <c r="AH33" i="17"/>
  <c r="AG33" i="17"/>
  <c r="AF33" i="17" s="1"/>
  <c r="AB33" i="17"/>
  <c r="M33" i="17"/>
  <c r="L33" i="17"/>
  <c r="I33" i="17"/>
  <c r="CV32" i="17"/>
  <c r="CT32" i="17"/>
  <c r="CP32" i="17"/>
  <c r="BD32" i="17"/>
  <c r="BC32" i="17"/>
  <c r="BB32" i="17" s="1"/>
  <c r="AH32" i="17"/>
  <c r="AI32" i="17" s="1"/>
  <c r="AF32" i="17" s="1"/>
  <c r="AG32" i="17"/>
  <c r="AB32" i="17"/>
  <c r="M32" i="17"/>
  <c r="L32" i="17"/>
  <c r="I32" i="17"/>
  <c r="CV31" i="17"/>
  <c r="CT31" i="17"/>
  <c r="CP31" i="17"/>
  <c r="BD31" i="17"/>
  <c r="BC31" i="17"/>
  <c r="BB31" i="17" s="1"/>
  <c r="AI31" i="17"/>
  <c r="AH31" i="17"/>
  <c r="AG31" i="17"/>
  <c r="AB31" i="17"/>
  <c r="M31" i="17"/>
  <c r="P31" i="17" s="1"/>
  <c r="L31" i="17"/>
  <c r="I31" i="17"/>
  <c r="CV30" i="17"/>
  <c r="CU30" i="17"/>
  <c r="CS30" i="17" s="1"/>
  <c r="DN30" i="17" s="1"/>
  <c r="CT30" i="17"/>
  <c r="CP30" i="17"/>
  <c r="BD30" i="17"/>
  <c r="BC30" i="17"/>
  <c r="BB30" i="17"/>
  <c r="AH30" i="17"/>
  <c r="AG30" i="17"/>
  <c r="AF30" i="17" s="1"/>
  <c r="AB30" i="17"/>
  <c r="M30" i="17"/>
  <c r="L30" i="17"/>
  <c r="I30" i="17"/>
  <c r="CV29" i="17"/>
  <c r="CT29" i="17"/>
  <c r="CP29" i="17"/>
  <c r="BF29" i="17"/>
  <c r="BD29" i="17"/>
  <c r="BC29" i="17"/>
  <c r="BB29" i="17" s="1"/>
  <c r="AI29" i="17"/>
  <c r="AH29" i="17"/>
  <c r="AG29" i="17"/>
  <c r="AB29" i="17"/>
  <c r="M29" i="17"/>
  <c r="L29" i="17"/>
  <c r="J29" i="17"/>
  <c r="I29" i="17"/>
  <c r="CV28" i="17"/>
  <c r="CT28" i="17"/>
  <c r="CP28" i="17"/>
  <c r="BF28" i="17"/>
  <c r="BD28" i="17"/>
  <c r="BC28" i="17"/>
  <c r="BB28" i="17" s="1"/>
  <c r="AH28" i="17"/>
  <c r="AI28" i="17" s="1"/>
  <c r="AF28" i="17" s="1"/>
  <c r="AG28" i="17"/>
  <c r="AB28" i="17"/>
  <c r="M28" i="17"/>
  <c r="L28" i="17"/>
  <c r="I28" i="17"/>
  <c r="CV27" i="17"/>
  <c r="CT27" i="17"/>
  <c r="CP27" i="17"/>
  <c r="BD27" i="17"/>
  <c r="BC27" i="17"/>
  <c r="BB27" i="17" s="1"/>
  <c r="AI27" i="17"/>
  <c r="AH27" i="17"/>
  <c r="AG27" i="17"/>
  <c r="AB27" i="17"/>
  <c r="M27" i="17"/>
  <c r="P27" i="17" s="1"/>
  <c r="L27" i="17"/>
  <c r="I27" i="17"/>
  <c r="CV26" i="17"/>
  <c r="CT26" i="17"/>
  <c r="CP26" i="17"/>
  <c r="BF26" i="17"/>
  <c r="BD26" i="17"/>
  <c r="BC26" i="17"/>
  <c r="BB26" i="17"/>
  <c r="AH26" i="17"/>
  <c r="AI26" i="17" s="1"/>
  <c r="AG26" i="17"/>
  <c r="AB26" i="17"/>
  <c r="M26" i="17"/>
  <c r="P26" i="17" s="1"/>
  <c r="L26" i="17"/>
  <c r="I26" i="17"/>
  <c r="CV25" i="17"/>
  <c r="CT25" i="17"/>
  <c r="CP25" i="17"/>
  <c r="BD25" i="17"/>
  <c r="BC25" i="17"/>
  <c r="BB25" i="17" s="1"/>
  <c r="AH25" i="17"/>
  <c r="AG25" i="17"/>
  <c r="AF25" i="17" s="1"/>
  <c r="AB25" i="17"/>
  <c r="M25" i="17"/>
  <c r="L25" i="17"/>
  <c r="I25" i="17"/>
  <c r="CV24" i="17"/>
  <c r="CT24" i="17"/>
  <c r="CP24" i="17"/>
  <c r="BD24" i="17"/>
  <c r="BC24" i="17"/>
  <c r="BB24" i="17"/>
  <c r="AH24" i="17"/>
  <c r="AI24" i="17" s="1"/>
  <c r="AG24" i="17"/>
  <c r="AB24" i="17"/>
  <c r="M24" i="17"/>
  <c r="P24" i="17" s="1"/>
  <c r="L24" i="17"/>
  <c r="I24" i="17"/>
  <c r="CV23" i="17"/>
  <c r="CU23" i="17"/>
  <c r="CT23" i="17"/>
  <c r="CP23" i="17"/>
  <c r="BD23" i="17"/>
  <c r="BC23" i="17"/>
  <c r="BB23" i="17" s="1"/>
  <c r="AH23" i="17"/>
  <c r="AI23" i="17" s="1"/>
  <c r="AG23" i="17"/>
  <c r="AB23" i="17"/>
  <c r="M23" i="17"/>
  <c r="L23" i="17"/>
  <c r="I23" i="17"/>
  <c r="CV22" i="17"/>
  <c r="CT22" i="17"/>
  <c r="CP22" i="17"/>
  <c r="BF22" i="17"/>
  <c r="BD22" i="17"/>
  <c r="BC22" i="17"/>
  <c r="AH22" i="17"/>
  <c r="AI22" i="17" s="1"/>
  <c r="AG22" i="17"/>
  <c r="AB22" i="17"/>
  <c r="M22" i="17"/>
  <c r="P22" i="17" s="1"/>
  <c r="L22" i="17"/>
  <c r="I22" i="17"/>
  <c r="CV21" i="17"/>
  <c r="CT21" i="17"/>
  <c r="CP21" i="17"/>
  <c r="BD21" i="17"/>
  <c r="BC21" i="17"/>
  <c r="BB21" i="17" s="1"/>
  <c r="AI21" i="17"/>
  <c r="AH21" i="17"/>
  <c r="AG21" i="17"/>
  <c r="AB21" i="17"/>
  <c r="M21" i="17"/>
  <c r="L21" i="17"/>
  <c r="I21" i="17"/>
  <c r="CV20" i="17"/>
  <c r="CT20" i="17"/>
  <c r="CP20" i="17"/>
  <c r="BD20" i="17"/>
  <c r="BC20" i="17"/>
  <c r="BB20" i="17" s="1"/>
  <c r="AH20" i="17"/>
  <c r="AI20" i="17" s="1"/>
  <c r="AF20" i="17" s="1"/>
  <c r="AG20" i="17"/>
  <c r="AB20" i="17"/>
  <c r="M20" i="17"/>
  <c r="P20" i="17" s="1"/>
  <c r="L20" i="17"/>
  <c r="I20" i="17"/>
  <c r="CV19" i="17"/>
  <c r="CT19" i="17"/>
  <c r="CP19" i="17"/>
  <c r="BD19" i="17"/>
  <c r="BC19" i="17"/>
  <c r="BB19" i="17"/>
  <c r="AH19" i="17"/>
  <c r="AI19" i="17" s="1"/>
  <c r="AG19" i="17"/>
  <c r="AB19" i="17"/>
  <c r="M19" i="17"/>
  <c r="P19" i="17" s="1"/>
  <c r="L19" i="17"/>
  <c r="I19" i="17"/>
  <c r="CV18" i="17"/>
  <c r="CT18" i="17"/>
  <c r="CP18" i="17"/>
  <c r="BF18" i="17"/>
  <c r="BD18" i="17"/>
  <c r="BC18" i="17"/>
  <c r="BB18" i="17" s="1"/>
  <c r="AI18" i="17"/>
  <c r="AH18" i="17"/>
  <c r="AG18" i="17"/>
  <c r="AB18" i="17"/>
  <c r="M18" i="17"/>
  <c r="P18" i="17" s="1"/>
  <c r="L18" i="17"/>
  <c r="I18" i="17"/>
  <c r="CV17" i="17"/>
  <c r="CT17" i="17"/>
  <c r="CP17" i="17"/>
  <c r="BF17" i="17"/>
  <c r="BD17" i="17"/>
  <c r="BC17" i="17"/>
  <c r="BB17" i="17"/>
  <c r="AH17" i="17"/>
  <c r="AI17" i="17" s="1"/>
  <c r="AG17" i="17"/>
  <c r="AB17" i="17"/>
  <c r="M17" i="17"/>
  <c r="P17" i="17" s="1"/>
  <c r="L17" i="17"/>
  <c r="I17" i="17"/>
  <c r="CV16" i="17"/>
  <c r="CT16" i="17"/>
  <c r="CP16" i="17"/>
  <c r="BD16" i="17"/>
  <c r="BC16" i="17"/>
  <c r="BB16" i="17" s="1"/>
  <c r="AH16" i="17"/>
  <c r="AI16" i="17" s="1"/>
  <c r="AF16" i="17" s="1"/>
  <c r="AG16" i="17"/>
  <c r="AB16" i="17"/>
  <c r="M16" i="17"/>
  <c r="L16" i="17"/>
  <c r="J16" i="17"/>
  <c r="I16" i="17"/>
  <c r="CV15" i="17"/>
  <c r="CT15" i="17"/>
  <c r="CP15" i="17"/>
  <c r="BD15" i="17"/>
  <c r="BC15" i="17"/>
  <c r="BB15" i="17" s="1"/>
  <c r="AH15" i="17"/>
  <c r="AG15" i="17"/>
  <c r="AF15" i="17" s="1"/>
  <c r="AB15" i="17"/>
  <c r="M15" i="17"/>
  <c r="L15" i="17"/>
  <c r="I15" i="17"/>
  <c r="CV14" i="17"/>
  <c r="CT14" i="17"/>
  <c r="CP14" i="17"/>
  <c r="BD14" i="17"/>
  <c r="BC14" i="17"/>
  <c r="BB14" i="17" s="1"/>
  <c r="AI14" i="17"/>
  <c r="AH14" i="17"/>
  <c r="AG14" i="17"/>
  <c r="AF14" i="17" s="1"/>
  <c r="AB14" i="17"/>
  <c r="M14" i="17"/>
  <c r="L14" i="17"/>
  <c r="I14" i="17"/>
  <c r="CV13" i="17"/>
  <c r="CU13" i="17"/>
  <c r="CT13" i="17"/>
  <c r="CP13" i="17"/>
  <c r="BD13" i="17"/>
  <c r="BC13" i="17"/>
  <c r="BB13" i="17" s="1"/>
  <c r="AH13" i="17"/>
  <c r="AG13" i="17"/>
  <c r="AF13" i="17" s="1"/>
  <c r="AB13" i="17"/>
  <c r="M13" i="17"/>
  <c r="L13" i="17"/>
  <c r="J13" i="17"/>
  <c r="I13" i="17"/>
  <c r="CV12" i="17"/>
  <c r="CT12" i="17"/>
  <c r="CP12" i="17"/>
  <c r="BF12" i="17"/>
  <c r="BD12" i="17"/>
  <c r="BD41" i="17" s="1"/>
  <c r="BC12" i="17"/>
  <c r="AI12" i="17"/>
  <c r="AH12" i="17"/>
  <c r="AG12" i="17"/>
  <c r="AF12" i="17" s="1"/>
  <c r="AB12" i="17"/>
  <c r="M12" i="17"/>
  <c r="L12" i="17"/>
  <c r="J12" i="17"/>
  <c r="I12" i="17"/>
  <c r="DC4" i="17"/>
  <c r="BH4" i="17"/>
  <c r="AF18" i="17" l="1"/>
  <c r="AF21" i="17"/>
  <c r="AB41" i="17"/>
  <c r="BB12" i="17"/>
  <c r="AF22" i="17"/>
  <c r="CS23" i="17"/>
  <c r="DN23" i="17" s="1"/>
  <c r="AF24" i="17"/>
  <c r="AF39" i="17"/>
  <c r="AF40" i="17"/>
  <c r="E42" i="17"/>
  <c r="BL44" i="17"/>
  <c r="AH41" i="17"/>
  <c r="BF41" i="17"/>
  <c r="CS13" i="17"/>
  <c r="DN13" i="17" s="1"/>
  <c r="AF17" i="17"/>
  <c r="AF19" i="17"/>
  <c r="AF23" i="17"/>
  <c r="AF26" i="17"/>
  <c r="AF36" i="17"/>
  <c r="AF38" i="17"/>
  <c r="B46" i="17"/>
  <c r="CV41" i="17"/>
  <c r="BB22" i="17"/>
  <c r="AF27" i="17"/>
  <c r="AF29" i="17"/>
  <c r="AF31" i="17"/>
  <c r="P16" i="17"/>
  <c r="O23" i="17"/>
  <c r="N23" i="17" s="1"/>
  <c r="K32" i="17"/>
  <c r="K13" i="17"/>
  <c r="K15" i="17"/>
  <c r="K39" i="17"/>
  <c r="K18" i="17"/>
  <c r="K27" i="17"/>
  <c r="O37" i="17"/>
  <c r="N37" i="17" s="1"/>
  <c r="O22" i="17"/>
  <c r="N22" i="17" s="1"/>
  <c r="O28" i="17"/>
  <c r="N28" i="17" s="1"/>
  <c r="O34" i="17"/>
  <c r="N34" i="17" s="1"/>
  <c r="J41" i="17"/>
  <c r="M41" i="17"/>
  <c r="O13" i="17"/>
  <c r="N13" i="17" s="1"/>
  <c r="O14" i="17"/>
  <c r="N14" i="17" s="1"/>
  <c r="O17" i="17"/>
  <c r="N17" i="17" s="1"/>
  <c r="K22" i="17"/>
  <c r="O26" i="17"/>
  <c r="N26" i="17" s="1"/>
  <c r="K28" i="17"/>
  <c r="K31" i="17"/>
  <c r="O32" i="17"/>
  <c r="N32" i="17" s="1"/>
  <c r="K34" i="17"/>
  <c r="K36" i="17"/>
  <c r="K38" i="17"/>
  <c r="O39" i="17"/>
  <c r="N39" i="17" s="1"/>
  <c r="O15" i="17"/>
  <c r="N15" i="17" s="1"/>
  <c r="O18" i="17"/>
  <c r="O27" i="17"/>
  <c r="N27" i="17" s="1"/>
  <c r="O31" i="17"/>
  <c r="O36" i="17"/>
  <c r="N36" i="17" s="1"/>
  <c r="O38" i="17"/>
  <c r="I41" i="17"/>
  <c r="I42" i="17" s="1"/>
  <c r="O12" i="17"/>
  <c r="O16" i="17"/>
  <c r="O19" i="17"/>
  <c r="N19" i="17" s="1"/>
  <c r="O20" i="17"/>
  <c r="N20" i="17" s="1"/>
  <c r="O21" i="17"/>
  <c r="N21" i="17" s="1"/>
  <c r="CZ23" i="17"/>
  <c r="DD23" i="17" s="1"/>
  <c r="DE23" i="17" s="1"/>
  <c r="DL23" i="17" s="1"/>
  <c r="DP23" i="17" s="1"/>
  <c r="O24" i="17"/>
  <c r="N24" i="17" s="1"/>
  <c r="O25" i="17"/>
  <c r="N25" i="17" s="1"/>
  <c r="O29" i="17"/>
  <c r="N29" i="17" s="1"/>
  <c r="O30" i="17"/>
  <c r="N30" i="17" s="1"/>
  <c r="CZ30" i="17" s="1"/>
  <c r="DD30" i="17" s="1"/>
  <c r="DE30" i="17" s="1"/>
  <c r="DL30" i="17" s="1"/>
  <c r="DP30" i="17" s="1"/>
  <c r="O33" i="17"/>
  <c r="N33" i="17" s="1"/>
  <c r="O35" i="17"/>
  <c r="N35" i="17" s="1"/>
  <c r="CZ35" i="17" s="1"/>
  <c r="DD35" i="17" s="1"/>
  <c r="DE35" i="17" s="1"/>
  <c r="DL35" i="17" s="1"/>
  <c r="DP35" i="17" s="1"/>
  <c r="O40" i="17"/>
  <c r="N40" i="17" s="1"/>
  <c r="AF41" i="17"/>
  <c r="AF42" i="17" s="1"/>
  <c r="AI41" i="17"/>
  <c r="CZ13" i="17"/>
  <c r="DD13" i="17" s="1"/>
  <c r="DE13" i="17" s="1"/>
  <c r="DL13" i="17" s="1"/>
  <c r="DP13" i="17" s="1"/>
  <c r="P41" i="17"/>
  <c r="N18" i="17"/>
  <c r="N31" i="17"/>
  <c r="N38" i="17"/>
  <c r="N12" i="17"/>
  <c r="CN42" i="17"/>
  <c r="CO42" i="17"/>
  <c r="CP40" i="17"/>
  <c r="CP41" i="17" s="1"/>
  <c r="L41" i="17"/>
  <c r="AG41" i="17"/>
  <c r="AF43" i="17" s="1"/>
  <c r="BC41" i="17"/>
  <c r="K12" i="17"/>
  <c r="K14" i="17"/>
  <c r="K16" i="17"/>
  <c r="K17" i="17"/>
  <c r="K19" i="17"/>
  <c r="K20" i="17"/>
  <c r="K21" i="17"/>
  <c r="K23" i="17"/>
  <c r="K24" i="17"/>
  <c r="K25" i="17"/>
  <c r="K26" i="17"/>
  <c r="K29" i="17"/>
  <c r="K30" i="17"/>
  <c r="K33" i="17"/>
  <c r="K35" i="17"/>
  <c r="K37" i="17"/>
  <c r="K40" i="17"/>
  <c r="CT40" i="17"/>
  <c r="G42" i="17"/>
  <c r="BB41" i="17" l="1"/>
  <c r="BB42" i="17" s="1"/>
  <c r="N16" i="17"/>
  <c r="N41" i="17" s="1"/>
  <c r="DS13" i="17"/>
  <c r="DS35" i="17"/>
  <c r="DS30" i="17"/>
  <c r="DS23" i="17"/>
  <c r="DO13" i="17"/>
  <c r="DO35" i="17"/>
  <c r="DO30" i="17"/>
  <c r="DO23" i="17"/>
  <c r="I43" i="17"/>
  <c r="O41" i="17"/>
  <c r="R43" i="17"/>
  <c r="K41" i="17"/>
  <c r="CT41" i="17"/>
  <c r="N42" i="17" l="1"/>
  <c r="K109" i="1" l="1"/>
  <c r="E109" i="1"/>
  <c r="K125" i="1"/>
  <c r="CR22" i="17" s="1"/>
  <c r="CU22" i="17" s="1"/>
  <c r="CS22" i="17" s="1"/>
  <c r="E125" i="1"/>
  <c r="K224" i="1"/>
  <c r="CR36" i="17" s="1"/>
  <c r="CU36" i="17" s="1"/>
  <c r="CS36" i="17" s="1"/>
  <c r="E224" i="1"/>
  <c r="D240" i="1"/>
  <c r="M239" i="1"/>
  <c r="C239" i="1"/>
  <c r="G234" i="1"/>
  <c r="G239" i="1" s="1"/>
  <c r="H234" i="1"/>
  <c r="H239" i="1" s="1"/>
  <c r="I234" i="1"/>
  <c r="I239" i="1" s="1"/>
  <c r="J234" i="1"/>
  <c r="J239" i="1" s="1"/>
  <c r="K234" i="1"/>
  <c r="L234" i="1"/>
  <c r="L239" i="1" s="1"/>
  <c r="M234" i="1"/>
  <c r="N234" i="1"/>
  <c r="N239" i="1" s="1"/>
  <c r="C234" i="1"/>
  <c r="D234" i="1"/>
  <c r="D239" i="1" s="1"/>
  <c r="D241" i="1" s="1"/>
  <c r="F234" i="1"/>
  <c r="C252" i="1"/>
  <c r="C238" i="1"/>
  <c r="D238" i="1"/>
  <c r="G238" i="1"/>
  <c r="H238" i="1"/>
  <c r="C253" i="1" s="1"/>
  <c r="I238" i="1"/>
  <c r="J238" i="1"/>
  <c r="K238" i="1"/>
  <c r="L238" i="1"/>
  <c r="M238" i="1"/>
  <c r="N238" i="1"/>
  <c r="F238" i="1"/>
  <c r="D237" i="1"/>
  <c r="F237" i="1"/>
  <c r="G237" i="1"/>
  <c r="H237" i="1"/>
  <c r="C250" i="1" s="1"/>
  <c r="I237" i="1"/>
  <c r="J237" i="1"/>
  <c r="K237" i="1"/>
  <c r="L237" i="1"/>
  <c r="M237" i="1"/>
  <c r="N237" i="1"/>
  <c r="C237" i="1"/>
  <c r="C249" i="1" s="1"/>
  <c r="D233" i="1"/>
  <c r="F233" i="1"/>
  <c r="F239" i="1" s="1"/>
  <c r="G233" i="1"/>
  <c r="H233" i="1"/>
  <c r="I233" i="1"/>
  <c r="J233" i="1"/>
  <c r="L233" i="1"/>
  <c r="M233" i="1"/>
  <c r="N233" i="1"/>
  <c r="C233" i="1"/>
  <c r="DN36" i="17" l="1"/>
  <c r="DP36" i="17" s="1"/>
  <c r="DS36" i="17" s="1"/>
  <c r="CZ36" i="17"/>
  <c r="DD36" i="17" s="1"/>
  <c r="DE36" i="17" s="1"/>
  <c r="DL36" i="17" s="1"/>
  <c r="DO36" i="17" s="1"/>
  <c r="DN22" i="17"/>
  <c r="DP22" i="17" s="1"/>
  <c r="DS22" i="17" s="1"/>
  <c r="CZ22" i="17"/>
  <c r="DD22" i="17" s="1"/>
  <c r="DE22" i="17" s="1"/>
  <c r="DL22" i="17" s="1"/>
  <c r="DO22" i="17" s="1"/>
  <c r="DQ26" i="17" l="1"/>
  <c r="DT26" i="17" s="1"/>
  <c r="DQ14" i="17" l="1"/>
  <c r="DT14" i="17" s="1"/>
  <c r="G384" i="4" l="1"/>
  <c r="C384" i="4"/>
  <c r="C385" i="4" s="1"/>
  <c r="H383" i="4"/>
  <c r="E383" i="4"/>
  <c r="E384" i="4" s="1"/>
  <c r="D383" i="4"/>
  <c r="D384" i="4" s="1"/>
  <c r="H381" i="4"/>
  <c r="G381" i="4"/>
  <c r="G385" i="4" s="1"/>
  <c r="D381" i="4"/>
  <c r="C381" i="4" s="1"/>
  <c r="C376" i="4"/>
  <c r="H372" i="4"/>
  <c r="G372" i="4"/>
  <c r="D372" i="4"/>
  <c r="C372" i="4"/>
  <c r="H364" i="4" s="1"/>
  <c r="H363" i="4"/>
  <c r="G363" i="4"/>
  <c r="D363" i="4"/>
  <c r="D364" i="4" s="1"/>
  <c r="C363" i="4"/>
  <c r="C364" i="4" s="1"/>
  <c r="E362" i="4"/>
  <c r="F361" i="4" s="1"/>
  <c r="E361" i="4"/>
  <c r="G360" i="4"/>
  <c r="D360" i="4"/>
  <c r="C360" i="4"/>
  <c r="H354" i="4"/>
  <c r="H355" i="4" s="1"/>
  <c r="G354" i="4"/>
  <c r="G355" i="4" s="1"/>
  <c r="D354" i="4"/>
  <c r="D355" i="4" s="1"/>
  <c r="C354" i="4"/>
  <c r="C355" i="4" s="1"/>
  <c r="H352" i="4"/>
  <c r="G352" i="4"/>
  <c r="D352" i="4"/>
  <c r="C352" i="4"/>
  <c r="H342" i="4"/>
  <c r="H343" i="4" s="1"/>
  <c r="G342" i="4"/>
  <c r="G343" i="4" s="1"/>
  <c r="C342" i="4"/>
  <c r="F341" i="4" s="1"/>
  <c r="E341" i="4"/>
  <c r="E340" i="4"/>
  <c r="F339" i="4" s="1"/>
  <c r="E339" i="4"/>
  <c r="E338" i="4"/>
  <c r="F337" i="4" s="1"/>
  <c r="E337" i="4"/>
  <c r="E336" i="4"/>
  <c r="D336" i="4"/>
  <c r="E335" i="4"/>
  <c r="E342" i="4" s="1"/>
  <c r="D335" i="4"/>
  <c r="D342" i="4" s="1"/>
  <c r="D343" i="4" s="1"/>
  <c r="J333" i="4"/>
  <c r="H333" i="4"/>
  <c r="G333" i="4"/>
  <c r="D333" i="4"/>
  <c r="C333" i="4"/>
  <c r="H326" i="4"/>
  <c r="G326" i="4" s="1"/>
  <c r="C326" i="4"/>
  <c r="H325" i="4"/>
  <c r="G325" i="4"/>
  <c r="D325" i="4"/>
  <c r="C325" i="4"/>
  <c r="F324" i="4" s="1"/>
  <c r="E324" i="4"/>
  <c r="E323" i="4"/>
  <c r="F322" i="4" s="1"/>
  <c r="E322" i="4"/>
  <c r="E321" i="4"/>
  <c r="F320" i="4" s="1"/>
  <c r="E320" i="4"/>
  <c r="E319" i="4"/>
  <c r="E325" i="4" s="1"/>
  <c r="E326" i="4" s="1"/>
  <c r="H317" i="4"/>
  <c r="C317" i="4"/>
  <c r="D316" i="4"/>
  <c r="D317" i="4" s="1"/>
  <c r="H312" i="4"/>
  <c r="H313" i="4" s="1"/>
  <c r="G312" i="4"/>
  <c r="G313" i="4" s="1"/>
  <c r="D312" i="4"/>
  <c r="C312" i="4"/>
  <c r="E311" i="4"/>
  <c r="F310" i="4" s="1"/>
  <c r="E310" i="4"/>
  <c r="E309" i="4"/>
  <c r="E312" i="4" s="1"/>
  <c r="E313" i="4" s="1"/>
  <c r="H307" i="4"/>
  <c r="G307" i="4"/>
  <c r="C307" i="4"/>
  <c r="D306" i="4"/>
  <c r="D307" i="4" s="1"/>
  <c r="H302" i="4"/>
  <c r="H303" i="4" s="1"/>
  <c r="G302" i="4"/>
  <c r="G303" i="4" s="1"/>
  <c r="D302" i="4"/>
  <c r="D303" i="4" s="1"/>
  <c r="C302" i="4"/>
  <c r="E301" i="4"/>
  <c r="F300" i="4" s="1"/>
  <c r="E300" i="4"/>
  <c r="E299" i="4"/>
  <c r="E298" i="4"/>
  <c r="E302" i="4" s="1"/>
  <c r="H296" i="4"/>
  <c r="G296" i="4"/>
  <c r="D296" i="4"/>
  <c r="C296" i="4"/>
  <c r="H291" i="4"/>
  <c r="H292" i="4" s="1"/>
  <c r="G291" i="4"/>
  <c r="G292" i="4" s="1"/>
  <c r="C291" i="4"/>
  <c r="C292" i="4" s="1"/>
  <c r="E290" i="4"/>
  <c r="E289" i="4"/>
  <c r="D289" i="4"/>
  <c r="E288" i="4"/>
  <c r="E287" i="4"/>
  <c r="E291" i="4" s="1"/>
  <c r="H285" i="4"/>
  <c r="G285" i="4"/>
  <c r="D285" i="4"/>
  <c r="C285" i="4"/>
  <c r="G280" i="4"/>
  <c r="C280" i="4"/>
  <c r="C281" i="4" s="1"/>
  <c r="H279" i="4"/>
  <c r="E279" i="4"/>
  <c r="H278" i="4"/>
  <c r="E278" i="4"/>
  <c r="H277" i="4"/>
  <c r="E277" i="4"/>
  <c r="H276" i="4"/>
  <c r="E276" i="4"/>
  <c r="D276" i="4"/>
  <c r="H275" i="4"/>
  <c r="E275" i="4"/>
  <c r="H274" i="4"/>
  <c r="F274" i="4" s="1"/>
  <c r="E274" i="4"/>
  <c r="H273" i="4"/>
  <c r="E273" i="4"/>
  <c r="H272" i="4"/>
  <c r="D272" i="4"/>
  <c r="E272" i="4" s="1"/>
  <c r="H271" i="4"/>
  <c r="F271" i="4"/>
  <c r="E271" i="4"/>
  <c r="H270" i="4"/>
  <c r="H280" i="4" s="1"/>
  <c r="E270" i="4"/>
  <c r="E280" i="4" s="1"/>
  <c r="H268" i="4"/>
  <c r="G268" i="4" s="1"/>
  <c r="G266" i="4"/>
  <c r="D266" i="4"/>
  <c r="D268" i="4" s="1"/>
  <c r="C268" i="4" s="1"/>
  <c r="C266" i="4"/>
  <c r="H262" i="4"/>
  <c r="H263" i="4" s="1"/>
  <c r="G262" i="4"/>
  <c r="C262" i="4"/>
  <c r="E261" i="4"/>
  <c r="E260" i="4"/>
  <c r="F259" i="4" s="1"/>
  <c r="E259" i="4"/>
  <c r="E258" i="4"/>
  <c r="D257" i="4"/>
  <c r="F256" i="4" s="1"/>
  <c r="E256" i="4"/>
  <c r="E255" i="4"/>
  <c r="H253" i="4"/>
  <c r="G253" i="4"/>
  <c r="D253" i="4"/>
  <c r="C253" i="4"/>
  <c r="H248" i="4"/>
  <c r="G248" i="4"/>
  <c r="C248" i="4"/>
  <c r="F247" i="4" s="1"/>
  <c r="E247" i="4"/>
  <c r="D247" i="4"/>
  <c r="D246" i="4"/>
  <c r="F245" i="4" s="1"/>
  <c r="E245" i="4"/>
  <c r="D245" i="4"/>
  <c r="D244" i="4"/>
  <c r="F243" i="4" s="1"/>
  <c r="E243" i="4"/>
  <c r="D242" i="4"/>
  <c r="E241" i="4"/>
  <c r="D241" i="4"/>
  <c r="D240" i="4"/>
  <c r="E239" i="4"/>
  <c r="D239" i="4"/>
  <c r="D238" i="4"/>
  <c r="D248" i="4" s="1"/>
  <c r="H234" i="4"/>
  <c r="H235" i="4" s="1"/>
  <c r="G234" i="4"/>
  <c r="C234" i="4"/>
  <c r="E232" i="4"/>
  <c r="E231" i="4"/>
  <c r="F230" i="4" s="1"/>
  <c r="E230" i="4"/>
  <c r="F229" i="4" s="1"/>
  <c r="E229" i="4"/>
  <c r="E228" i="4"/>
  <c r="E227" i="4"/>
  <c r="F226" i="4" s="1"/>
  <c r="E226" i="4"/>
  <c r="E234" i="4" s="1"/>
  <c r="D226" i="4"/>
  <c r="D234" i="4" s="1"/>
  <c r="D235" i="4" s="1"/>
  <c r="H224" i="4"/>
  <c r="G224" i="4"/>
  <c r="D224" i="4"/>
  <c r="C224" i="4"/>
  <c r="C235" i="4" s="1"/>
  <c r="H218" i="4"/>
  <c r="H219" i="4" s="1"/>
  <c r="G218" i="4"/>
  <c r="D218" i="4"/>
  <c r="C218" i="4"/>
  <c r="F217" i="4" s="1"/>
  <c r="E217" i="4"/>
  <c r="D217" i="4"/>
  <c r="E216" i="4"/>
  <c r="E218" i="4" s="1"/>
  <c r="H214" i="4"/>
  <c r="G214" i="4"/>
  <c r="C214" i="4"/>
  <c r="D213" i="4"/>
  <c r="D214" i="4" s="1"/>
  <c r="H209" i="4"/>
  <c r="G209" i="4"/>
  <c r="D209" i="4"/>
  <c r="C209" i="4"/>
  <c r="F208" i="4" s="1"/>
  <c r="E208" i="4"/>
  <c r="E207" i="4"/>
  <c r="E206" i="4"/>
  <c r="F205" i="4" s="1"/>
  <c r="E205" i="4"/>
  <c r="F204" i="4" s="1"/>
  <c r="E204" i="4"/>
  <c r="E203" i="4"/>
  <c r="E202" i="4"/>
  <c r="F201" i="4" s="1"/>
  <c r="E201" i="4"/>
  <c r="F200" i="4" s="1"/>
  <c r="E200" i="4"/>
  <c r="E199" i="4"/>
  <c r="E198" i="4"/>
  <c r="F197" i="4" s="1"/>
  <c r="E197" i="4"/>
  <c r="F196" i="4" s="1"/>
  <c r="E196" i="4"/>
  <c r="E195" i="4"/>
  <c r="E209" i="4" s="1"/>
  <c r="E210" i="4" s="1"/>
  <c r="D210" i="4" s="1"/>
  <c r="C210" i="4" s="1"/>
  <c r="H191" i="4"/>
  <c r="G191" i="4"/>
  <c r="D191" i="4"/>
  <c r="D192" i="4" s="1"/>
  <c r="C191" i="4"/>
  <c r="C192" i="4" s="1"/>
  <c r="H188" i="4"/>
  <c r="G188" i="4"/>
  <c r="D188" i="4"/>
  <c r="C188" i="4"/>
  <c r="H181" i="4"/>
  <c r="H180" i="4"/>
  <c r="G180" i="4"/>
  <c r="D180" i="4"/>
  <c r="C180" i="4"/>
  <c r="E179" i="4"/>
  <c r="F178" i="4" s="1"/>
  <c r="E178" i="4"/>
  <c r="F177" i="4" s="1"/>
  <c r="E177" i="4"/>
  <c r="E176" i="4"/>
  <c r="E175" i="4"/>
  <c r="F174" i="4" s="1"/>
  <c r="E174" i="4"/>
  <c r="F173" i="4" s="1"/>
  <c r="E173" i="4"/>
  <c r="E172" i="4"/>
  <c r="E171" i="4"/>
  <c r="F170" i="4" s="1"/>
  <c r="E170" i="4"/>
  <c r="F169" i="4" s="1"/>
  <c r="E169" i="4"/>
  <c r="H167" i="4"/>
  <c r="G167" i="4"/>
  <c r="G181" i="4" s="1"/>
  <c r="D167" i="4"/>
  <c r="D181" i="4" s="1"/>
  <c r="C167" i="4"/>
  <c r="C181" i="4" s="1"/>
  <c r="H160" i="4"/>
  <c r="G160" i="4"/>
  <c r="K159" i="4"/>
  <c r="H159" i="4"/>
  <c r="G159" i="4"/>
  <c r="C159" i="4"/>
  <c r="D158" i="4"/>
  <c r="F157" i="4" s="1"/>
  <c r="E157" i="4"/>
  <c r="D157" i="4"/>
  <c r="D156" i="4"/>
  <c r="F155" i="4" s="1"/>
  <c r="E155" i="4"/>
  <c r="D155" i="4"/>
  <c r="E154" i="4"/>
  <c r="F154" i="4" s="1"/>
  <c r="D154" i="4"/>
  <c r="D159" i="4" s="1"/>
  <c r="D160" i="4" s="1"/>
  <c r="C160" i="4" s="1"/>
  <c r="H150" i="4"/>
  <c r="H151" i="4" s="1"/>
  <c r="J149" i="4" s="1"/>
  <c r="F148" i="4" s="1"/>
  <c r="G150" i="4"/>
  <c r="G151" i="4" s="1"/>
  <c r="C150" i="4"/>
  <c r="C151" i="4" s="1"/>
  <c r="E148" i="4"/>
  <c r="D147" i="4"/>
  <c r="F146" i="4" s="1"/>
  <c r="E146" i="4"/>
  <c r="D146" i="4"/>
  <c r="D150" i="4" s="1"/>
  <c r="D151" i="4" s="1"/>
  <c r="H144" i="4"/>
  <c r="G144" i="4"/>
  <c r="D144" i="4" s="1"/>
  <c r="C144" i="4"/>
  <c r="D142" i="4"/>
  <c r="D140" i="4"/>
  <c r="C137" i="4"/>
  <c r="H136" i="4"/>
  <c r="H137" i="4" s="1"/>
  <c r="G136" i="4"/>
  <c r="D136" i="4"/>
  <c r="D137" i="4" s="1"/>
  <c r="C136" i="4"/>
  <c r="F135" i="4" s="1"/>
  <c r="E135" i="4"/>
  <c r="D135" i="4"/>
  <c r="F134" i="4"/>
  <c r="E134" i="4"/>
  <c r="E136" i="4" s="1"/>
  <c r="D134" i="4"/>
  <c r="H132" i="4"/>
  <c r="G132" i="4"/>
  <c r="D132" i="4"/>
  <c r="C132" i="4"/>
  <c r="D131" i="4"/>
  <c r="H127" i="4"/>
  <c r="H128" i="4" s="1"/>
  <c r="G128" i="4" s="1"/>
  <c r="C127" i="4"/>
  <c r="F125" i="4" s="1"/>
  <c r="E125" i="4"/>
  <c r="F124" i="4" s="1"/>
  <c r="E124" i="4"/>
  <c r="E123" i="4"/>
  <c r="F122" i="4" s="1"/>
  <c r="E122" i="4"/>
  <c r="F121" i="4" s="1"/>
  <c r="E121" i="4"/>
  <c r="D121" i="4"/>
  <c r="E120" i="4"/>
  <c r="F119" i="4" s="1"/>
  <c r="E119" i="4"/>
  <c r="D119" i="4"/>
  <c r="F118" i="4" s="1"/>
  <c r="E118" i="4"/>
  <c r="E117" i="4"/>
  <c r="E127" i="4" s="1"/>
  <c r="D117" i="4"/>
  <c r="D127" i="4" s="1"/>
  <c r="D128" i="4" s="1"/>
  <c r="H115" i="4"/>
  <c r="G115" i="4"/>
  <c r="D115" i="4"/>
  <c r="C115" i="4"/>
  <c r="C128" i="4" s="1"/>
  <c r="D111" i="4"/>
  <c r="H108" i="4"/>
  <c r="H107" i="4"/>
  <c r="D107" i="4"/>
  <c r="D108" i="4" s="1"/>
  <c r="C107" i="4"/>
  <c r="F106" i="4" s="1"/>
  <c r="E106" i="4"/>
  <c r="E105" i="4"/>
  <c r="E104" i="4"/>
  <c r="D103" i="4"/>
  <c r="F102" i="4" s="1"/>
  <c r="E102" i="4"/>
  <c r="F101" i="4" s="1"/>
  <c r="E101" i="4"/>
  <c r="E100" i="4"/>
  <c r="F99" i="4" s="1"/>
  <c r="E99" i="4"/>
  <c r="H97" i="4"/>
  <c r="D97" i="4"/>
  <c r="C97" i="4"/>
  <c r="C108" i="4" s="1"/>
  <c r="H92" i="4"/>
  <c r="H93" i="4" s="1"/>
  <c r="G93" i="4" s="1"/>
  <c r="G92" i="4"/>
  <c r="D92" i="4"/>
  <c r="C92" i="4"/>
  <c r="F91" i="4" s="1"/>
  <c r="E91" i="4"/>
  <c r="F90" i="4" s="1"/>
  <c r="E90" i="4"/>
  <c r="F89" i="4" s="1"/>
  <c r="E89" i="4"/>
  <c r="E88" i="4"/>
  <c r="E87" i="4"/>
  <c r="F86" i="4" s="1"/>
  <c r="E86" i="4"/>
  <c r="E92" i="4" s="1"/>
  <c r="E93" i="4" s="1"/>
  <c r="H84" i="4"/>
  <c r="G84" i="4"/>
  <c r="D84" i="4"/>
  <c r="D93" i="4" s="1"/>
  <c r="C84" i="4"/>
  <c r="D313" i="4" l="1"/>
  <c r="D385" i="4"/>
  <c r="F92" i="4"/>
  <c r="F93" i="4" s="1"/>
  <c r="E150" i="4"/>
  <c r="D326" i="4"/>
  <c r="D219" i="4"/>
  <c r="H384" i="4"/>
  <c r="F272" i="4"/>
  <c r="F311" i="4"/>
  <c r="F321" i="4"/>
  <c r="F336" i="4"/>
  <c r="F340" i="4"/>
  <c r="E363" i="4"/>
  <c r="F87" i="4"/>
  <c r="F88" i="4"/>
  <c r="F100" i="4"/>
  <c r="F104" i="4"/>
  <c r="F117" i="4"/>
  <c r="F120" i="4"/>
  <c r="F123" i="4"/>
  <c r="E147" i="4"/>
  <c r="E156" i="4"/>
  <c r="E159" i="4" s="1"/>
  <c r="E160" i="4" s="1"/>
  <c r="E158" i="4"/>
  <c r="F171" i="4"/>
  <c r="F175" i="4"/>
  <c r="F179" i="4"/>
  <c r="F198" i="4"/>
  <c r="F202" i="4"/>
  <c r="F206" i="4"/>
  <c r="C219" i="4"/>
  <c r="F227" i="4"/>
  <c r="F231" i="4"/>
  <c r="G235" i="4"/>
  <c r="E238" i="4"/>
  <c r="F239" i="4"/>
  <c r="F241" i="4"/>
  <c r="E244" i="4"/>
  <c r="E246" i="4"/>
  <c r="F246" i="4" s="1"/>
  <c r="E257" i="4"/>
  <c r="E262" i="4" s="1"/>
  <c r="F260" i="4"/>
  <c r="G263" i="4"/>
  <c r="F276" i="4"/>
  <c r="F278" i="4"/>
  <c r="D280" i="4"/>
  <c r="D281" i="4" s="1"/>
  <c r="F289" i="4"/>
  <c r="F301" i="4"/>
  <c r="C93" i="4"/>
  <c r="F105" i="4"/>
  <c r="F136" i="4"/>
  <c r="G137" i="4"/>
  <c r="F147" i="4"/>
  <c r="F150" i="4" s="1"/>
  <c r="F151" i="4" s="1"/>
  <c r="E151" i="4" s="1"/>
  <c r="F158" i="4"/>
  <c r="F172" i="4"/>
  <c r="F180" i="4" s="1"/>
  <c r="F181" i="4" s="1"/>
  <c r="F176" i="4"/>
  <c r="F195" i="4"/>
  <c r="F199" i="4"/>
  <c r="F203" i="4"/>
  <c r="F207" i="4"/>
  <c r="F216" i="4"/>
  <c r="F228" i="4"/>
  <c r="F234" i="4" s="1"/>
  <c r="F232" i="4"/>
  <c r="E240" i="4"/>
  <c r="F240" i="4" s="1"/>
  <c r="E242" i="4"/>
  <c r="F244" i="4"/>
  <c r="F257" i="4"/>
  <c r="F261" i="4"/>
  <c r="F270" i="4"/>
  <c r="F273" i="4"/>
  <c r="F275" i="4"/>
  <c r="F287" i="4"/>
  <c r="F290" i="4"/>
  <c r="F298" i="4"/>
  <c r="F309" i="4"/>
  <c r="F312" i="4" s="1"/>
  <c r="F313" i="4" s="1"/>
  <c r="C313" i="4"/>
  <c r="F319" i="4"/>
  <c r="F325" i="4" s="1"/>
  <c r="F326" i="4" s="1"/>
  <c r="F323" i="4"/>
  <c r="F335" i="4"/>
  <c r="F342" i="4" s="1"/>
  <c r="F343" i="4" s="1"/>
  <c r="E343" i="4" s="1"/>
  <c r="F338" i="4"/>
  <c r="F362" i="4"/>
  <c r="F363" i="4" s="1"/>
  <c r="G364" i="4"/>
  <c r="F383" i="4"/>
  <c r="F384" i="4" s="1"/>
  <c r="F385" i="4" s="1"/>
  <c r="E180" i="4"/>
  <c r="E181" i="4" s="1"/>
  <c r="F218" i="4"/>
  <c r="G219" i="4"/>
  <c r="F219" i="4" s="1"/>
  <c r="E219" i="4" s="1"/>
  <c r="F242" i="4"/>
  <c r="F255" i="4"/>
  <c r="F262" i="4" s="1"/>
  <c r="F258" i="4"/>
  <c r="D262" i="4"/>
  <c r="D263" i="4" s="1"/>
  <c r="C263" i="4"/>
  <c r="F277" i="4"/>
  <c r="F280" i="4" s="1"/>
  <c r="F279" i="4"/>
  <c r="G281" i="4"/>
  <c r="F288" i="4"/>
  <c r="D291" i="4"/>
  <c r="D292" i="4" s="1"/>
  <c r="F299" i="4"/>
  <c r="C303" i="4"/>
  <c r="C343" i="4"/>
  <c r="G77" i="4"/>
  <c r="G78" i="4" s="1"/>
  <c r="D77" i="4"/>
  <c r="D78" i="4" s="1"/>
  <c r="C77" i="4"/>
  <c r="C389" i="4" s="1"/>
  <c r="H76" i="4"/>
  <c r="F76" i="4" s="1"/>
  <c r="E76" i="4"/>
  <c r="H75" i="4"/>
  <c r="F75" i="4" s="1"/>
  <c r="E75" i="4"/>
  <c r="H74" i="4"/>
  <c r="F74" i="4" s="1"/>
  <c r="E74" i="4"/>
  <c r="H73" i="4"/>
  <c r="F73" i="4" s="1"/>
  <c r="E73" i="4"/>
  <c r="H72" i="4"/>
  <c r="F72" i="4" s="1"/>
  <c r="F77" i="4" s="1"/>
  <c r="E72" i="4"/>
  <c r="E77" i="4" s="1"/>
  <c r="G70" i="4"/>
  <c r="D70" i="4"/>
  <c r="D388" i="4" s="1"/>
  <c r="C70" i="4"/>
  <c r="C78" i="4" s="1"/>
  <c r="H69" i="4"/>
  <c r="H68" i="4"/>
  <c r="H67" i="4"/>
  <c r="H63" i="4"/>
  <c r="H64" i="4" s="1"/>
  <c r="G64" i="4" s="1"/>
  <c r="G63" i="4"/>
  <c r="C63" i="4"/>
  <c r="F62" i="4" s="1"/>
  <c r="E62" i="4"/>
  <c r="E61" i="4"/>
  <c r="D60" i="4"/>
  <c r="F59" i="4" s="1"/>
  <c r="E59" i="4"/>
  <c r="E58" i="4"/>
  <c r="F57" i="4" s="1"/>
  <c r="E57" i="4"/>
  <c r="H55" i="4"/>
  <c r="G55" i="4"/>
  <c r="D55" i="4"/>
  <c r="C55" i="4"/>
  <c r="C49" i="4"/>
  <c r="H48" i="4"/>
  <c r="C48" i="4"/>
  <c r="D47" i="4"/>
  <c r="D46" i="4"/>
  <c r="D45" i="4"/>
  <c r="D48" i="4" s="1"/>
  <c r="D49" i="4" s="1"/>
  <c r="D43" i="4"/>
  <c r="C39" i="4"/>
  <c r="H38" i="4"/>
  <c r="H39" i="4" s="1"/>
  <c r="G38" i="4"/>
  <c r="D38" i="4"/>
  <c r="D39" i="4" s="1"/>
  <c r="C38" i="4"/>
  <c r="E37" i="4"/>
  <c r="D37" i="4"/>
  <c r="E36" i="4"/>
  <c r="D36" i="4"/>
  <c r="E35" i="4"/>
  <c r="D35" i="4"/>
  <c r="E34" i="4"/>
  <c r="E38" i="4" s="1"/>
  <c r="D34" i="4"/>
  <c r="C31" i="4"/>
  <c r="H30" i="4"/>
  <c r="H31" i="4" s="1"/>
  <c r="F31" i="4" s="1"/>
  <c r="E28" i="4"/>
  <c r="F28" i="4" s="1"/>
  <c r="D28" i="4"/>
  <c r="D31" i="4" s="1"/>
  <c r="K27" i="4"/>
  <c r="F27" i="4" s="1"/>
  <c r="E27" i="4"/>
  <c r="D26" i="4"/>
  <c r="E26" i="4" s="1"/>
  <c r="F26" i="4" s="1"/>
  <c r="H24" i="4"/>
  <c r="E385" i="4" l="1"/>
  <c r="F30" i="4"/>
  <c r="F78" i="4"/>
  <c r="E78" i="4" s="1"/>
  <c r="E31" i="4"/>
  <c r="D30" i="4"/>
  <c r="K28" i="4" s="1"/>
  <c r="E30" i="4"/>
  <c r="F35" i="4"/>
  <c r="F37" i="4"/>
  <c r="E60" i="4"/>
  <c r="D63" i="4"/>
  <c r="D64" i="4" s="1"/>
  <c r="C64" i="4"/>
  <c r="F281" i="4"/>
  <c r="E281" i="4" s="1"/>
  <c r="F364" i="4"/>
  <c r="E364" i="4" s="1"/>
  <c r="F302" i="4"/>
  <c r="F303" i="4" s="1"/>
  <c r="E303" i="4" s="1"/>
  <c r="F137" i="4"/>
  <c r="E137" i="4" s="1"/>
  <c r="F235" i="4"/>
  <c r="E235" i="4" s="1"/>
  <c r="H385" i="4"/>
  <c r="H77" i="4"/>
  <c r="H389" i="4" s="1"/>
  <c r="F127" i="4"/>
  <c r="F128" i="4" s="1"/>
  <c r="E128" i="4" s="1"/>
  <c r="C388" i="4"/>
  <c r="F60" i="4"/>
  <c r="E63" i="4"/>
  <c r="F34" i="4"/>
  <c r="F38" i="4" s="1"/>
  <c r="F39" i="4" s="1"/>
  <c r="E39" i="4" s="1"/>
  <c r="F36" i="4"/>
  <c r="F58" i="4"/>
  <c r="F63" i="4" s="1"/>
  <c r="F64" i="4" s="1"/>
  <c r="E64" i="4" s="1"/>
  <c r="F61" i="4"/>
  <c r="F291" i="4"/>
  <c r="F292" i="4" s="1"/>
  <c r="E292" i="4" s="1"/>
  <c r="F209" i="4"/>
  <c r="F210" i="4" s="1"/>
  <c r="F156" i="4"/>
  <c r="F159" i="4" s="1"/>
  <c r="F160" i="4" s="1"/>
  <c r="F263" i="4"/>
  <c r="E263" i="4" s="1"/>
  <c r="E248" i="4"/>
  <c r="F238" i="4"/>
  <c r="F248" i="4" s="1"/>
  <c r="H70" i="4"/>
  <c r="H78" i="4" s="1"/>
  <c r="H20" i="4"/>
  <c r="H19" i="4"/>
  <c r="D19" i="4"/>
  <c r="D20" i="4" s="1"/>
  <c r="C19" i="4"/>
  <c r="E17" i="4"/>
  <c r="F17" i="4" s="1"/>
  <c r="F16" i="4"/>
  <c r="E16" i="4"/>
  <c r="E15" i="4"/>
  <c r="F15" i="4" s="1"/>
  <c r="F14" i="4"/>
  <c r="E14" i="4"/>
  <c r="E13" i="4"/>
  <c r="F13" i="4" s="1"/>
  <c r="F12" i="4"/>
  <c r="E12" i="4"/>
  <c r="H10" i="4"/>
  <c r="D10" i="4"/>
  <c r="C10" i="4"/>
  <c r="D8" i="4"/>
  <c r="BF269" i="2"/>
  <c r="AI269" i="2"/>
  <c r="R269" i="2"/>
  <c r="G269" i="2"/>
  <c r="AN268" i="2"/>
  <c r="AY267" i="2"/>
  <c r="AX267" i="2"/>
  <c r="AZ267" i="2" s="1"/>
  <c r="AW267" i="2"/>
  <c r="AV267" i="2"/>
  <c r="AU267" i="2"/>
  <c r="AT267" i="2"/>
  <c r="AR267" i="2"/>
  <c r="AQ267" i="2" s="1"/>
  <c r="AF267" i="2"/>
  <c r="AE267" i="2"/>
  <c r="Y267" i="2"/>
  <c r="V267" i="2"/>
  <c r="U267" i="2"/>
  <c r="T267" i="2" s="1"/>
  <c r="O267" i="2"/>
  <c r="M267" i="2" s="1"/>
  <c r="L267" i="2" s="1"/>
  <c r="N267" i="2"/>
  <c r="K267" i="2"/>
  <c r="I267" i="2" s="1"/>
  <c r="H267" i="2" s="1"/>
  <c r="AZ266" i="2"/>
  <c r="AY266" i="2"/>
  <c r="AX266" i="2"/>
  <c r="AV266" i="2"/>
  <c r="AU266" i="2"/>
  <c r="BA266" i="2" s="1"/>
  <c r="AT266" i="2"/>
  <c r="AR266" i="2"/>
  <c r="AS266" i="2" s="1"/>
  <c r="AQ266" i="2"/>
  <c r="AM266" i="2"/>
  <c r="AF266" i="2"/>
  <c r="AE266" i="2"/>
  <c r="Y266" i="2"/>
  <c r="U266" i="2"/>
  <c r="T266" i="2" s="1"/>
  <c r="O266" i="2"/>
  <c r="N266" i="2"/>
  <c r="I266" i="2"/>
  <c r="H266" i="2" s="1"/>
  <c r="AY265" i="2"/>
  <c r="AX265" i="2"/>
  <c r="AU265" i="2"/>
  <c r="BA265" i="2" s="1"/>
  <c r="AZ265" i="2" s="1"/>
  <c r="AT265" i="2"/>
  <c r="AR265" i="2"/>
  <c r="AM265" i="2"/>
  <c r="AF265" i="2"/>
  <c r="AE265" i="2"/>
  <c r="Y265" i="2"/>
  <c r="U265" i="2"/>
  <c r="N265" i="2"/>
  <c r="M265" i="2"/>
  <c r="L265" i="2" s="1"/>
  <c r="I265" i="2"/>
  <c r="H265" i="2" s="1"/>
  <c r="AY264" i="2"/>
  <c r="AX264" i="2"/>
  <c r="AU264" i="2"/>
  <c r="BA264" i="2" s="1"/>
  <c r="AZ264" i="2" s="1"/>
  <c r="AT264" i="2"/>
  <c r="AR264" i="2"/>
  <c r="AM264" i="2"/>
  <c r="AF264" i="2"/>
  <c r="AE264" i="2"/>
  <c r="Y264" i="2"/>
  <c r="V264" i="2"/>
  <c r="U264" i="2"/>
  <c r="T264" i="2" s="1"/>
  <c r="O264" i="2"/>
  <c r="M264" i="2" s="1"/>
  <c r="L264" i="2" s="1"/>
  <c r="N264" i="2"/>
  <c r="K264" i="2"/>
  <c r="I264" i="2" s="1"/>
  <c r="H264" i="2" s="1"/>
  <c r="AY263" i="2"/>
  <c r="AX263" i="2"/>
  <c r="AU263" i="2"/>
  <c r="BA263" i="2" s="1"/>
  <c r="AT263" i="2"/>
  <c r="AS263" i="2" s="1"/>
  <c r="AR263" i="2"/>
  <c r="AF263" i="2"/>
  <c r="AE263" i="2"/>
  <c r="U263" i="2"/>
  <c r="S263" i="2"/>
  <c r="Y263" i="2" s="1"/>
  <c r="Z263" i="2" s="1"/>
  <c r="O263" i="2"/>
  <c r="M263" i="2" s="1"/>
  <c r="L263" i="2" s="1"/>
  <c r="N263" i="2"/>
  <c r="K263" i="2"/>
  <c r="I263" i="2" s="1"/>
  <c r="H263" i="2" s="1"/>
  <c r="AY262" i="2"/>
  <c r="AX262" i="2"/>
  <c r="AZ262" i="2" s="1"/>
  <c r="AU262" i="2"/>
  <c r="AT262" i="2"/>
  <c r="AR262" i="2"/>
  <c r="AM262" i="2"/>
  <c r="AF262" i="2"/>
  <c r="AE262" i="2"/>
  <c r="Z262" i="2"/>
  <c r="AD262" i="2" s="1"/>
  <c r="Y262" i="2"/>
  <c r="U262" i="2"/>
  <c r="V262" i="2" s="1"/>
  <c r="T262" i="2"/>
  <c r="O262" i="2"/>
  <c r="N262" i="2"/>
  <c r="M262" i="2"/>
  <c r="L262" i="2" s="1"/>
  <c r="K262" i="2"/>
  <c r="I262" i="2" s="1"/>
  <c r="H262" i="2" s="1"/>
  <c r="AZ261" i="2"/>
  <c r="AY261" i="2"/>
  <c r="AX261" i="2"/>
  <c r="AV261" i="2"/>
  <c r="AU261" i="2"/>
  <c r="BA261" i="2" s="1"/>
  <c r="AT261" i="2"/>
  <c r="AR261" i="2"/>
  <c r="AQ261" i="2" s="1"/>
  <c r="AN261" i="2"/>
  <c r="AN260" i="2" s="1"/>
  <c r="AM261" i="2"/>
  <c r="AF261" i="2"/>
  <c r="AE261" i="2"/>
  <c r="Y261" i="2"/>
  <c r="V261" i="2"/>
  <c r="U261" i="2"/>
  <c r="N261" i="2"/>
  <c r="N260" i="2" s="1"/>
  <c r="M261" i="2"/>
  <c r="L261" i="2" s="1"/>
  <c r="K261" i="2"/>
  <c r="I261" i="2" s="1"/>
  <c r="H261" i="2" s="1"/>
  <c r="AY260" i="2"/>
  <c r="AT260" i="2"/>
  <c r="AP260" i="2"/>
  <c r="AO260" i="2"/>
  <c r="AM260" i="2"/>
  <c r="AH260" i="2"/>
  <c r="AB260" i="2"/>
  <c r="AA260" i="2"/>
  <c r="X260" i="2"/>
  <c r="W260" i="2"/>
  <c r="Q260" i="2"/>
  <c r="P260" i="2"/>
  <c r="J260" i="2"/>
  <c r="F260" i="2"/>
  <c r="E260" i="2"/>
  <c r="D260" i="2"/>
  <c r="C260" i="2"/>
  <c r="AZ258" i="2"/>
  <c r="AY258" i="2"/>
  <c r="AX258" i="2"/>
  <c r="AU258" i="2"/>
  <c r="AT258" i="2"/>
  <c r="AM258" i="2"/>
  <c r="AG258" i="2"/>
  <c r="AF258" i="2"/>
  <c r="AE258" i="2"/>
  <c r="AD258" i="2"/>
  <c r="AC258" i="2"/>
  <c r="T258" i="2"/>
  <c r="O258" i="2"/>
  <c r="M258" i="2" s="1"/>
  <c r="L258" i="2" s="1"/>
  <c r="N258" i="2"/>
  <c r="K258" i="2"/>
  <c r="I258" i="2" s="1"/>
  <c r="H258" i="2" s="1"/>
  <c r="AY257" i="2"/>
  <c r="BA257" i="2" s="1"/>
  <c r="AX257" i="2"/>
  <c r="AU257" i="2"/>
  <c r="AT257" i="2"/>
  <c r="AR257" i="2"/>
  <c r="AF257" i="2"/>
  <c r="AE257" i="2"/>
  <c r="Y257" i="2"/>
  <c r="U257" i="2"/>
  <c r="T257" i="2" s="1"/>
  <c r="S257" i="2"/>
  <c r="O257" i="2"/>
  <c r="M257" i="2" s="1"/>
  <c r="L257" i="2" s="1"/>
  <c r="N257" i="2"/>
  <c r="I257" i="2"/>
  <c r="H257" i="2" s="1"/>
  <c r="AY256" i="2"/>
  <c r="AX256" i="2"/>
  <c r="AU256" i="2"/>
  <c r="BA256" i="2" s="1"/>
  <c r="AZ256" i="2" s="1"/>
  <c r="AT256" i="2"/>
  <c r="AR256" i="2"/>
  <c r="AM256" i="2"/>
  <c r="AF256" i="2"/>
  <c r="AE256" i="2"/>
  <c r="Y256" i="2"/>
  <c r="U256" i="2"/>
  <c r="N256" i="2"/>
  <c r="M256" i="2"/>
  <c r="L256" i="2" s="1"/>
  <c r="I256" i="2"/>
  <c r="H256" i="2" s="1"/>
  <c r="AY255" i="2"/>
  <c r="AX255" i="2"/>
  <c r="AX251" i="2" s="1"/>
  <c r="AU255" i="2"/>
  <c r="BA255" i="2" s="1"/>
  <c r="AZ255" i="2" s="1"/>
  <c r="AT255" i="2"/>
  <c r="AR255" i="2"/>
  <c r="AM255" i="2"/>
  <c r="AF255" i="2"/>
  <c r="AE255" i="2"/>
  <c r="Y255" i="2"/>
  <c r="V255" i="2"/>
  <c r="U255" i="2"/>
  <c r="T255" i="2" s="1"/>
  <c r="O255" i="2"/>
  <c r="M255" i="2" s="1"/>
  <c r="L255" i="2" s="1"/>
  <c r="N255" i="2"/>
  <c r="K255" i="2"/>
  <c r="I255" i="2" s="1"/>
  <c r="H255" i="2" s="1"/>
  <c r="AZ254" i="2"/>
  <c r="AY254" i="2"/>
  <c r="AX254" i="2"/>
  <c r="AV254" i="2"/>
  <c r="AU254" i="2"/>
  <c r="BA254" i="2" s="1"/>
  <c r="AT254" i="2"/>
  <c r="AR254" i="2"/>
  <c r="AQ254" i="2"/>
  <c r="AN254" i="2"/>
  <c r="AN251" i="2" s="1"/>
  <c r="AM254" i="2"/>
  <c r="AF254" i="2"/>
  <c r="AE254" i="2"/>
  <c r="AD254" i="2"/>
  <c r="AC254" i="2" s="1"/>
  <c r="U254" i="2"/>
  <c r="V254" i="2" s="1"/>
  <c r="T254" i="2"/>
  <c r="O254" i="2"/>
  <c r="M254" i="2" s="1"/>
  <c r="L254" i="2" s="1"/>
  <c r="N254" i="2"/>
  <c r="K254" i="2"/>
  <c r="I254" i="2" s="1"/>
  <c r="H254" i="2" s="1"/>
  <c r="BA253" i="2"/>
  <c r="AZ253" i="2" s="1"/>
  <c r="AY253" i="2"/>
  <c r="AX253" i="2"/>
  <c r="AU253" i="2"/>
  <c r="AT253" i="2"/>
  <c r="AR253" i="2"/>
  <c r="AM253" i="2"/>
  <c r="AF253" i="2"/>
  <c r="AE253" i="2"/>
  <c r="Y253" i="2"/>
  <c r="O253" i="2"/>
  <c r="N253" i="2"/>
  <c r="M253" i="2"/>
  <c r="L253" i="2" s="1"/>
  <c r="K253" i="2"/>
  <c r="I253" i="2" s="1"/>
  <c r="H253" i="2" s="1"/>
  <c r="BA252" i="2"/>
  <c r="AZ252" i="2" s="1"/>
  <c r="AY252" i="2"/>
  <c r="AX252" i="2"/>
  <c r="AU252" i="2"/>
  <c r="AT252" i="2"/>
  <c r="AR252" i="2"/>
  <c r="AM252" i="2"/>
  <c r="AF252" i="2"/>
  <c r="AE252" i="2"/>
  <c r="AE251" i="2" s="1"/>
  <c r="Y252" i="2"/>
  <c r="T252" i="2"/>
  <c r="N252" i="2"/>
  <c r="M252" i="2"/>
  <c r="L252" i="2"/>
  <c r="K252" i="2"/>
  <c r="I252" i="2" s="1"/>
  <c r="H252" i="2" s="1"/>
  <c r="AY251" i="2"/>
  <c r="AT251" i="2"/>
  <c r="AP251" i="2"/>
  <c r="AO251" i="2"/>
  <c r="AR251" i="2" s="1"/>
  <c r="AM251" i="2"/>
  <c r="AB251" i="2"/>
  <c r="AA251" i="2"/>
  <c r="X251" i="2"/>
  <c r="W251" i="2"/>
  <c r="U251" i="2"/>
  <c r="Q251" i="2"/>
  <c r="P251" i="2"/>
  <c r="J251" i="2"/>
  <c r="F251" i="2"/>
  <c r="E251" i="2"/>
  <c r="D251" i="2"/>
  <c r="C251" i="2"/>
  <c r="BA249" i="2"/>
  <c r="AY249" i="2"/>
  <c r="AX249" i="2"/>
  <c r="AU249" i="2"/>
  <c r="AT249" i="2"/>
  <c r="AS249" i="2" s="1"/>
  <c r="AR249" i="2"/>
  <c r="AN249" i="2"/>
  <c r="AM249" i="2"/>
  <c r="AF249" i="2"/>
  <c r="AE249" i="2"/>
  <c r="Y249" i="2"/>
  <c r="Z249" i="2" s="1"/>
  <c r="U249" i="2"/>
  <c r="O249" i="2"/>
  <c r="N249" i="2"/>
  <c r="M249" i="2"/>
  <c r="L249" i="2" s="1"/>
  <c r="I249" i="2"/>
  <c r="H249" i="2" s="1"/>
  <c r="AY248" i="2"/>
  <c r="AX248" i="2"/>
  <c r="AU248" i="2"/>
  <c r="AT248" i="2"/>
  <c r="AR248" i="2"/>
  <c r="AM248" i="2"/>
  <c r="AF248" i="2"/>
  <c r="AE248" i="2"/>
  <c r="Y248" i="2"/>
  <c r="U248" i="2"/>
  <c r="O248" i="2"/>
  <c r="M248" i="2" s="1"/>
  <c r="L248" i="2" s="1"/>
  <c r="N248" i="2"/>
  <c r="N242" i="2" s="1"/>
  <c r="I248" i="2"/>
  <c r="H248" i="2"/>
  <c r="AY247" i="2"/>
  <c r="AX247" i="2"/>
  <c r="AV247" i="2"/>
  <c r="AU247" i="2"/>
  <c r="AT247" i="2"/>
  <c r="AR247" i="2"/>
  <c r="AQ247" i="2" s="1"/>
  <c r="AM247" i="2"/>
  <c r="AF247" i="2"/>
  <c r="AE247" i="2"/>
  <c r="Z247" i="2"/>
  <c r="Y247" i="2"/>
  <c r="V247" i="2"/>
  <c r="U247" i="2"/>
  <c r="T247" i="2"/>
  <c r="N247" i="2"/>
  <c r="M247" i="2"/>
  <c r="L247" i="2" s="1"/>
  <c r="I247" i="2"/>
  <c r="H247" i="2"/>
  <c r="AZ246" i="2"/>
  <c r="AY246" i="2"/>
  <c r="AX246" i="2"/>
  <c r="AU246" i="2"/>
  <c r="AT246" i="2"/>
  <c r="AR246" i="2"/>
  <c r="AQ246" i="2" s="1"/>
  <c r="AM246" i="2"/>
  <c r="AV246" i="2" s="1"/>
  <c r="AF246" i="2"/>
  <c r="AE246" i="2"/>
  <c r="Y246" i="2"/>
  <c r="Z246" i="2" s="1"/>
  <c r="U246" i="2"/>
  <c r="O246" i="2"/>
  <c r="N246" i="2"/>
  <c r="M246" i="2"/>
  <c r="L246" i="2" s="1"/>
  <c r="I246" i="2"/>
  <c r="H246" i="2" s="1"/>
  <c r="AY245" i="2"/>
  <c r="AX245" i="2"/>
  <c r="AZ245" i="2" s="1"/>
  <c r="AU245" i="2"/>
  <c r="BA245" i="2" s="1"/>
  <c r="AT245" i="2"/>
  <c r="AS245" i="2"/>
  <c r="AR245" i="2"/>
  <c r="AN245" i="2"/>
  <c r="AN242" i="2" s="1"/>
  <c r="AM245" i="2"/>
  <c r="AV245" i="2" s="1"/>
  <c r="AW245" i="2" s="1"/>
  <c r="AF245" i="2"/>
  <c r="AE245" i="2"/>
  <c r="Z245" i="2"/>
  <c r="Y245" i="2"/>
  <c r="U245" i="2"/>
  <c r="T245" i="2" s="1"/>
  <c r="O245" i="2"/>
  <c r="N245" i="2"/>
  <c r="M245" i="2"/>
  <c r="L245" i="2" s="1"/>
  <c r="I245" i="2"/>
  <c r="H245" i="2" s="1"/>
  <c r="BA244" i="2"/>
  <c r="AY244" i="2"/>
  <c r="AX244" i="2"/>
  <c r="AX242" i="2" s="1"/>
  <c r="AU244" i="2"/>
  <c r="AT244" i="2"/>
  <c r="AS244" i="2" s="1"/>
  <c r="AR244" i="2"/>
  <c r="AN244" i="2"/>
  <c r="AM244" i="2"/>
  <c r="AF244" i="2"/>
  <c r="AE244" i="2"/>
  <c r="Y244" i="2"/>
  <c r="Z244" i="2" s="1"/>
  <c r="U244" i="2"/>
  <c r="O244" i="2"/>
  <c r="M244" i="2" s="1"/>
  <c r="L244" i="2" s="1"/>
  <c r="N244" i="2"/>
  <c r="I244" i="2"/>
  <c r="H244" i="2" s="1"/>
  <c r="AY243" i="2"/>
  <c r="AY242" i="2" s="1"/>
  <c r="AX243" i="2"/>
  <c r="AU243" i="2"/>
  <c r="AT243" i="2"/>
  <c r="AR243" i="2"/>
  <c r="AM243" i="2"/>
  <c r="AF243" i="2"/>
  <c r="AE243" i="2"/>
  <c r="Y243" i="2"/>
  <c r="Y242" i="2" s="1"/>
  <c r="U243" i="2"/>
  <c r="N243" i="2"/>
  <c r="M243" i="2"/>
  <c r="L243" i="2" s="1"/>
  <c r="I243" i="2"/>
  <c r="AP242" i="2"/>
  <c r="AO242" i="2"/>
  <c r="AM242" i="2"/>
  <c r="AE242" i="2"/>
  <c r="AB242" i="2"/>
  <c r="AA242" i="2"/>
  <c r="X242" i="2"/>
  <c r="W242" i="2"/>
  <c r="Q242" i="2"/>
  <c r="P242" i="2"/>
  <c r="K242" i="2"/>
  <c r="J242" i="2"/>
  <c r="F242" i="2"/>
  <c r="E242" i="2"/>
  <c r="D242" i="2"/>
  <c r="C242" i="2"/>
  <c r="AY240" i="2"/>
  <c r="BA240" i="2" s="1"/>
  <c r="AX240" i="2"/>
  <c r="AU240" i="2"/>
  <c r="AS240" i="2" s="1"/>
  <c r="AT240" i="2"/>
  <c r="AZ240" i="2" s="1"/>
  <c r="AR240" i="2"/>
  <c r="AN240" i="2"/>
  <c r="AM240" i="2"/>
  <c r="AF240" i="2"/>
  <c r="AE240" i="2"/>
  <c r="U240" i="2"/>
  <c r="S240" i="2"/>
  <c r="O240" i="2"/>
  <c r="M240" i="2" s="1"/>
  <c r="L240" i="2" s="1"/>
  <c r="N240" i="2"/>
  <c r="I240" i="2"/>
  <c r="H240" i="2" s="1"/>
  <c r="AY239" i="2"/>
  <c r="AX239" i="2"/>
  <c r="AU239" i="2"/>
  <c r="AT239" i="2"/>
  <c r="AS239" i="2" s="1"/>
  <c r="AR239" i="2"/>
  <c r="AM239" i="2"/>
  <c r="AF239" i="2"/>
  <c r="AE239" i="2"/>
  <c r="Y239" i="2"/>
  <c r="U239" i="2"/>
  <c r="O239" i="2"/>
  <c r="M239" i="2" s="1"/>
  <c r="L239" i="2" s="1"/>
  <c r="N239" i="2"/>
  <c r="I239" i="2"/>
  <c r="H239" i="2"/>
  <c r="AZ238" i="2"/>
  <c r="AY238" i="2"/>
  <c r="AX238" i="2"/>
  <c r="AU238" i="2"/>
  <c r="AT238" i="2"/>
  <c r="AR238" i="2"/>
  <c r="AM238" i="2"/>
  <c r="AV238" i="2" s="1"/>
  <c r="AF238" i="2"/>
  <c r="AE238" i="2"/>
  <c r="Y238" i="2"/>
  <c r="V238" i="2"/>
  <c r="U238" i="2"/>
  <c r="T238" i="2"/>
  <c r="N238" i="2"/>
  <c r="M238" i="2"/>
  <c r="L238" i="2" s="1"/>
  <c r="I238" i="2"/>
  <c r="H238" i="2"/>
  <c r="AY237" i="2"/>
  <c r="AX237" i="2"/>
  <c r="AU237" i="2"/>
  <c r="AT237" i="2"/>
  <c r="AS237" i="2" s="1"/>
  <c r="AR237" i="2"/>
  <c r="AF237" i="2"/>
  <c r="AE237" i="2"/>
  <c r="V237" i="2"/>
  <c r="U237" i="2"/>
  <c r="S237" i="2"/>
  <c r="Y237" i="2" s="1"/>
  <c r="T237" i="2" s="1"/>
  <c r="O237" i="2"/>
  <c r="M237" i="2" s="1"/>
  <c r="L237" i="2" s="1"/>
  <c r="N237" i="2"/>
  <c r="I237" i="2"/>
  <c r="H237" i="2" s="1"/>
  <c r="BA236" i="2"/>
  <c r="AY236" i="2"/>
  <c r="AX236" i="2"/>
  <c r="AU236" i="2"/>
  <c r="AT236" i="2"/>
  <c r="AR236" i="2"/>
  <c r="AN236" i="2"/>
  <c r="AF236" i="2"/>
  <c r="AE236" i="2"/>
  <c r="V236" i="2"/>
  <c r="U236" i="2"/>
  <c r="S236" i="2"/>
  <c r="AM236" i="2" s="1"/>
  <c r="N236" i="2"/>
  <c r="M236" i="2"/>
  <c r="L236" i="2" s="1"/>
  <c r="I236" i="2"/>
  <c r="H236" i="2" s="1"/>
  <c r="AY235" i="2"/>
  <c r="AX235" i="2"/>
  <c r="AU235" i="2"/>
  <c r="AT235" i="2"/>
  <c r="AS235" i="2" s="1"/>
  <c r="AR235" i="2"/>
  <c r="AM235" i="2"/>
  <c r="AF235" i="2"/>
  <c r="AE235" i="2"/>
  <c r="Y235" i="2"/>
  <c r="U235" i="2"/>
  <c r="U233" i="2" s="1"/>
  <c r="O235" i="2"/>
  <c r="N235" i="2"/>
  <c r="M235" i="2"/>
  <c r="L235" i="2" s="1"/>
  <c r="I235" i="2"/>
  <c r="AY234" i="2"/>
  <c r="AX234" i="2"/>
  <c r="AZ234" i="2" s="1"/>
  <c r="AU234" i="2"/>
  <c r="AT234" i="2"/>
  <c r="AR234" i="2"/>
  <c r="AM234" i="2"/>
  <c r="AV234" i="2" s="1"/>
  <c r="AF234" i="2"/>
  <c r="AF233" i="2" s="1"/>
  <c r="AE234" i="2"/>
  <c r="Y234" i="2"/>
  <c r="U234" i="2"/>
  <c r="N234" i="2"/>
  <c r="M234" i="2"/>
  <c r="L234" i="2"/>
  <c r="I234" i="2"/>
  <c r="H234" i="2"/>
  <c r="AY233" i="2"/>
  <c r="AX233" i="2" s="1"/>
  <c r="AP233" i="2"/>
  <c r="AO233" i="2"/>
  <c r="AN233" i="2"/>
  <c r="AM233" i="2"/>
  <c r="AB233" i="2"/>
  <c r="AA233" i="2"/>
  <c r="X233" i="2"/>
  <c r="W233" i="2"/>
  <c r="Q233" i="2"/>
  <c r="P233" i="2"/>
  <c r="N233" i="2"/>
  <c r="K233" i="2"/>
  <c r="J233" i="2"/>
  <c r="F233" i="2"/>
  <c r="E233" i="2"/>
  <c r="D233" i="2"/>
  <c r="C233" i="2"/>
  <c r="AY231" i="2"/>
  <c r="AX231" i="2"/>
  <c r="AU231" i="2"/>
  <c r="AT231" i="2"/>
  <c r="AM231" i="2"/>
  <c r="AV231" i="2" s="1"/>
  <c r="AF231" i="2"/>
  <c r="AE231" i="2"/>
  <c r="Z231" i="2"/>
  <c r="U231" i="2"/>
  <c r="O231" i="2"/>
  <c r="M231" i="2"/>
  <c r="L231" i="2" s="1"/>
  <c r="I231" i="2"/>
  <c r="H231" i="2"/>
  <c r="AY230" i="2"/>
  <c r="BA230" i="2" s="1"/>
  <c r="AX230" i="2"/>
  <c r="AZ230" i="2" s="1"/>
  <c r="AU230" i="2"/>
  <c r="AT230" i="2"/>
  <c r="AM230" i="2"/>
  <c r="AF230" i="2"/>
  <c r="AE230" i="2"/>
  <c r="Z230" i="2"/>
  <c r="U230" i="2"/>
  <c r="O230" i="2"/>
  <c r="M230" i="2"/>
  <c r="L230" i="2" s="1"/>
  <c r="I230" i="2"/>
  <c r="H230" i="2" s="1"/>
  <c r="AY229" i="2"/>
  <c r="AX229" i="2"/>
  <c r="AV229" i="2"/>
  <c r="AU229" i="2"/>
  <c r="AT229" i="2"/>
  <c r="AM229" i="2"/>
  <c r="AF229" i="2"/>
  <c r="AE229" i="2"/>
  <c r="AD229" i="2" s="1"/>
  <c r="AC229" i="2" s="1"/>
  <c r="Z229" i="2"/>
  <c r="V229" i="2" s="1"/>
  <c r="U229" i="2"/>
  <c r="O229" i="2"/>
  <c r="M229" i="2"/>
  <c r="L229" i="2" s="1"/>
  <c r="I229" i="2"/>
  <c r="H229" i="2" s="1"/>
  <c r="AY228" i="2"/>
  <c r="AX228" i="2"/>
  <c r="AW228" i="2" s="1"/>
  <c r="AU228" i="2"/>
  <c r="AT228" i="2"/>
  <c r="AM228" i="2"/>
  <c r="AV228" i="2" s="1"/>
  <c r="AF228" i="2"/>
  <c r="AE228" i="2"/>
  <c r="Z228" i="2"/>
  <c r="U228" i="2"/>
  <c r="O228" i="2"/>
  <c r="M228" i="2"/>
  <c r="L228" i="2" s="1"/>
  <c r="I228" i="2"/>
  <c r="H228" i="2" s="1"/>
  <c r="AY227" i="2"/>
  <c r="AX227" i="2"/>
  <c r="AT227" i="2"/>
  <c r="AM227" i="2"/>
  <c r="AF227" i="2"/>
  <c r="AE227" i="2"/>
  <c r="Z227" i="2"/>
  <c r="X227" i="2"/>
  <c r="U227" i="2"/>
  <c r="O227" i="2"/>
  <c r="M227" i="2"/>
  <c r="L227" i="2" s="1"/>
  <c r="I227" i="2"/>
  <c r="H227" i="2"/>
  <c r="AY226" i="2"/>
  <c r="AY224" i="2" s="1"/>
  <c r="AX226" i="2"/>
  <c r="AV226" i="2"/>
  <c r="AT226" i="2"/>
  <c r="AM226" i="2"/>
  <c r="AE226" i="2"/>
  <c r="Z226" i="2"/>
  <c r="X226" i="2"/>
  <c r="U226" i="2"/>
  <c r="O226" i="2"/>
  <c r="M226" i="2"/>
  <c r="L226" i="2" s="1"/>
  <c r="I226" i="2"/>
  <c r="H226" i="2" s="1"/>
  <c r="H224" i="2" s="1"/>
  <c r="AZ225" i="2"/>
  <c r="AY225" i="2"/>
  <c r="AX225" i="2"/>
  <c r="AT225" i="2"/>
  <c r="AN225" i="2"/>
  <c r="AM225" i="2"/>
  <c r="AV225" i="2" s="1"/>
  <c r="AE225" i="2"/>
  <c r="Z225" i="2"/>
  <c r="Z224" i="2" s="1"/>
  <c r="X225" i="2"/>
  <c r="U225" i="2"/>
  <c r="O225" i="2"/>
  <c r="M225" i="2"/>
  <c r="L225" i="2" s="1"/>
  <c r="L224" i="2" s="1"/>
  <c r="I225" i="2"/>
  <c r="H225" i="2" s="1"/>
  <c r="BG224" i="2"/>
  <c r="AX224" i="2"/>
  <c r="AS224" i="2"/>
  <c r="AR224" i="2" s="1"/>
  <c r="AQ224" i="2"/>
  <c r="AP224" i="2"/>
  <c r="AO224" i="2"/>
  <c r="AN224" i="2"/>
  <c r="AM224" i="2"/>
  <c r="AE224" i="2"/>
  <c r="AB224" i="2"/>
  <c r="AA224" i="2"/>
  <c r="Y224" i="2"/>
  <c r="X224" i="2"/>
  <c r="W224" i="2"/>
  <c r="U224" i="2"/>
  <c r="T224" i="2"/>
  <c r="Q224" i="2"/>
  <c r="P224" i="2"/>
  <c r="O224" i="2"/>
  <c r="N224" i="2"/>
  <c r="M224" i="2"/>
  <c r="K224" i="2"/>
  <c r="J224" i="2"/>
  <c r="I224" i="2"/>
  <c r="F224" i="2"/>
  <c r="E224" i="2"/>
  <c r="D224" i="2"/>
  <c r="C224" i="2"/>
  <c r="AN223" i="2"/>
  <c r="AY222" i="2"/>
  <c r="BA222" i="2" s="1"/>
  <c r="AZ222" i="2" s="1"/>
  <c r="AX222" i="2"/>
  <c r="AU222" i="2"/>
  <c r="AT222" i="2"/>
  <c r="AR222" i="2"/>
  <c r="AF222" i="2"/>
  <c r="AE222" i="2"/>
  <c r="Y222" i="2"/>
  <c r="V222" i="2" s="1"/>
  <c r="U222" i="2"/>
  <c r="T222" i="2"/>
  <c r="S222" i="2"/>
  <c r="O222" i="2"/>
  <c r="M222" i="2"/>
  <c r="L222" i="2" s="1"/>
  <c r="I222" i="2"/>
  <c r="H222" i="2" s="1"/>
  <c r="AY221" i="2"/>
  <c r="AX221" i="2"/>
  <c r="AZ221" i="2" s="1"/>
  <c r="AU221" i="2"/>
  <c r="AT221" i="2"/>
  <c r="AR221" i="2"/>
  <c r="AM221" i="2"/>
  <c r="AV221" i="2" s="1"/>
  <c r="AW221" i="2" s="1"/>
  <c r="AF221" i="2"/>
  <c r="AE221" i="2"/>
  <c r="Y221" i="2"/>
  <c r="V221" i="2"/>
  <c r="U221" i="2"/>
  <c r="O221" i="2"/>
  <c r="M221" i="2"/>
  <c r="L221" i="2"/>
  <c r="I221" i="2"/>
  <c r="H221" i="2"/>
  <c r="AZ220" i="2"/>
  <c r="AY220" i="2"/>
  <c r="AX220" i="2"/>
  <c r="AU220" i="2"/>
  <c r="BA220" i="2" s="1"/>
  <c r="AT220" i="2"/>
  <c r="AR220" i="2"/>
  <c r="AM220" i="2"/>
  <c r="AV220" i="2" s="1"/>
  <c r="AF220" i="2"/>
  <c r="AE220" i="2"/>
  <c r="Y220" i="2"/>
  <c r="Z220" i="2" s="1"/>
  <c r="U220" i="2"/>
  <c r="T220" i="2" s="1"/>
  <c r="O220" i="2"/>
  <c r="O215" i="2" s="1"/>
  <c r="M220" i="2"/>
  <c r="L220" i="2" s="1"/>
  <c r="I220" i="2"/>
  <c r="H220" i="2" s="1"/>
  <c r="AY219" i="2"/>
  <c r="BA219" i="2" s="1"/>
  <c r="AX219" i="2"/>
  <c r="AV219" i="2"/>
  <c r="AU219" i="2"/>
  <c r="AT219" i="2"/>
  <c r="AS219" i="2" s="1"/>
  <c r="AR219" i="2"/>
  <c r="AQ219" i="2"/>
  <c r="AM219" i="2"/>
  <c r="AF219" i="2"/>
  <c r="AE219" i="2"/>
  <c r="Z219" i="2"/>
  <c r="Y219" i="2"/>
  <c r="V219" i="2"/>
  <c r="U219" i="2"/>
  <c r="T219" i="2"/>
  <c r="O219" i="2"/>
  <c r="M219" i="2"/>
  <c r="L219" i="2" s="1"/>
  <c r="I219" i="2"/>
  <c r="H219" i="2" s="1"/>
  <c r="AY218" i="2"/>
  <c r="BA218" i="2" s="1"/>
  <c r="AZ218" i="2" s="1"/>
  <c r="AX218" i="2"/>
  <c r="AU218" i="2"/>
  <c r="AT218" i="2"/>
  <c r="AR218" i="2"/>
  <c r="AF218" i="2"/>
  <c r="AE218" i="2"/>
  <c r="Y218" i="2"/>
  <c r="V218" i="2" s="1"/>
  <c r="U218" i="2"/>
  <c r="S218" i="2"/>
  <c r="O218" i="2"/>
  <c r="M218" i="2"/>
  <c r="L218" i="2" s="1"/>
  <c r="I218" i="2"/>
  <c r="H218" i="2" s="1"/>
  <c r="AY217" i="2"/>
  <c r="BA217" i="2" s="1"/>
  <c r="AX217" i="2"/>
  <c r="AZ217" i="2" s="1"/>
  <c r="AU217" i="2"/>
  <c r="AS217" i="2" s="1"/>
  <c r="AT217" i="2"/>
  <c r="AR217" i="2"/>
  <c r="AM217" i="2"/>
  <c r="AV217" i="2" s="1"/>
  <c r="AF217" i="2"/>
  <c r="AE217" i="2"/>
  <c r="Y217" i="2"/>
  <c r="Y215" i="2" s="1"/>
  <c r="U217" i="2"/>
  <c r="T217" i="2" s="1"/>
  <c r="O217" i="2"/>
  <c r="M217" i="2"/>
  <c r="L217" i="2" s="1"/>
  <c r="I217" i="2"/>
  <c r="H217" i="2" s="1"/>
  <c r="BA216" i="2"/>
  <c r="AY216" i="2"/>
  <c r="AX216" i="2"/>
  <c r="AV216" i="2"/>
  <c r="AU216" i="2"/>
  <c r="AT216" i="2"/>
  <c r="AS216" i="2" s="1"/>
  <c r="AR216" i="2"/>
  <c r="AQ216" i="2"/>
  <c r="AN216" i="2"/>
  <c r="AM216" i="2"/>
  <c r="AF216" i="2"/>
  <c r="AE216" i="2"/>
  <c r="Z216" i="2"/>
  <c r="AD216" i="2" s="1"/>
  <c r="Y216" i="2"/>
  <c r="V216" i="2"/>
  <c r="U216" i="2"/>
  <c r="T216" i="2"/>
  <c r="O216" i="2"/>
  <c r="M216" i="2"/>
  <c r="L216" i="2" s="1"/>
  <c r="I216" i="2"/>
  <c r="H216" i="2"/>
  <c r="AT215" i="2"/>
  <c r="AP215" i="2"/>
  <c r="AO215" i="2"/>
  <c r="AR215" i="2" s="1"/>
  <c r="AN215" i="2"/>
  <c r="AM215" i="2"/>
  <c r="AV215" i="2" s="1"/>
  <c r="AU215" i="2" s="1"/>
  <c r="AH215" i="2"/>
  <c r="AB215" i="2"/>
  <c r="AA215" i="2"/>
  <c r="X215" i="2"/>
  <c r="W215" i="2"/>
  <c r="Q215" i="2"/>
  <c r="P215" i="2"/>
  <c r="N215" i="2"/>
  <c r="K215" i="2"/>
  <c r="J215" i="2"/>
  <c r="F215" i="2"/>
  <c r="E215" i="2"/>
  <c r="D215" i="2"/>
  <c r="C215" i="2"/>
  <c r="BA213" i="2"/>
  <c r="AY213" i="2"/>
  <c r="AX213" i="2"/>
  <c r="AU213" i="2"/>
  <c r="AT213" i="2"/>
  <c r="AR213" i="2"/>
  <c r="AN213" i="2"/>
  <c r="AF213" i="2"/>
  <c r="AE213" i="2"/>
  <c r="U213" i="2"/>
  <c r="S213" i="2"/>
  <c r="AM213" i="2" s="1"/>
  <c r="O213" i="2"/>
  <c r="M213" i="2"/>
  <c r="L213" i="2" s="1"/>
  <c r="I213" i="2"/>
  <c r="H213" i="2" s="1"/>
  <c r="AY212" i="2"/>
  <c r="AX212" i="2"/>
  <c r="AV212" i="2"/>
  <c r="AU212" i="2"/>
  <c r="AT212" i="2"/>
  <c r="AS212" i="2" s="1"/>
  <c r="AR212" i="2"/>
  <c r="AQ212" i="2"/>
  <c r="AM212" i="2"/>
  <c r="AF212" i="2"/>
  <c r="AE212" i="2"/>
  <c r="Z212" i="2"/>
  <c r="Y212" i="2"/>
  <c r="U212" i="2"/>
  <c r="T212" i="2" s="1"/>
  <c r="O212" i="2"/>
  <c r="M212" i="2"/>
  <c r="L212" i="2" s="1"/>
  <c r="I212" i="2"/>
  <c r="H212" i="2"/>
  <c r="AY211" i="2"/>
  <c r="BA211" i="2" s="1"/>
  <c r="AX211" i="2"/>
  <c r="AV211" i="2"/>
  <c r="AU211" i="2"/>
  <c r="AT211" i="2"/>
  <c r="AZ211" i="2" s="1"/>
  <c r="AR211" i="2"/>
  <c r="AM211" i="2"/>
  <c r="AF211" i="2"/>
  <c r="AE211" i="2"/>
  <c r="Y211" i="2"/>
  <c r="U211" i="2"/>
  <c r="O211" i="2"/>
  <c r="M211" i="2"/>
  <c r="L211" i="2" s="1"/>
  <c r="I211" i="2"/>
  <c r="H211" i="2" s="1"/>
  <c r="AY210" i="2"/>
  <c r="AX210" i="2"/>
  <c r="AT210" i="2"/>
  <c r="AR210" i="2"/>
  <c r="AN210" i="2"/>
  <c r="AM210" i="2"/>
  <c r="AE210" i="2"/>
  <c r="Y210" i="2"/>
  <c r="X210" i="2"/>
  <c r="AF210" i="2" s="1"/>
  <c r="V210" i="2"/>
  <c r="U210" i="2"/>
  <c r="O210" i="2"/>
  <c r="M210" i="2"/>
  <c r="L210" i="2" s="1"/>
  <c r="I210" i="2"/>
  <c r="H210" i="2" s="1"/>
  <c r="AY209" i="2"/>
  <c r="AX209" i="2"/>
  <c r="AZ209" i="2" s="1"/>
  <c r="AT209" i="2"/>
  <c r="AR209" i="2"/>
  <c r="AN209" i="2"/>
  <c r="AM209" i="2"/>
  <c r="AE209" i="2"/>
  <c r="X209" i="2"/>
  <c r="AF209" i="2" s="1"/>
  <c r="U209" i="2"/>
  <c r="S209" i="2"/>
  <c r="O209" i="2"/>
  <c r="M209" i="2"/>
  <c r="L209" i="2"/>
  <c r="I209" i="2"/>
  <c r="H209" i="2" s="1"/>
  <c r="AY208" i="2"/>
  <c r="AX208" i="2"/>
  <c r="AT208" i="2"/>
  <c r="AR208" i="2"/>
  <c r="AM208" i="2"/>
  <c r="AF208" i="2"/>
  <c r="AE208" i="2"/>
  <c r="Y208" i="2"/>
  <c r="Z208" i="2" s="1"/>
  <c r="X208" i="2"/>
  <c r="AU208" i="2" s="1"/>
  <c r="BA208" i="2" s="1"/>
  <c r="AZ208" i="2" s="1"/>
  <c r="P208" i="2"/>
  <c r="AN208" i="2" s="1"/>
  <c r="O208" i="2"/>
  <c r="M208" i="2"/>
  <c r="L208" i="2" s="1"/>
  <c r="I208" i="2"/>
  <c r="H208" i="2" s="1"/>
  <c r="AY207" i="2"/>
  <c r="AX207" i="2"/>
  <c r="AT207" i="2"/>
  <c r="AR207" i="2"/>
  <c r="AM207" i="2"/>
  <c r="AF207" i="2"/>
  <c r="AF206" i="2" s="1"/>
  <c r="AE207" i="2"/>
  <c r="Y207" i="2"/>
  <c r="X207" i="2"/>
  <c r="AU207" i="2" s="1"/>
  <c r="V207" i="2"/>
  <c r="U207" i="2"/>
  <c r="O207" i="2"/>
  <c r="M207" i="2"/>
  <c r="L207" i="2"/>
  <c r="I207" i="2"/>
  <c r="H207" i="2" s="1"/>
  <c r="AY206" i="2"/>
  <c r="AR206" i="2"/>
  <c r="AP206" i="2"/>
  <c r="AO206" i="2"/>
  <c r="AN206" i="2"/>
  <c r="AM206" i="2"/>
  <c r="AH206" i="2"/>
  <c r="AB206" i="2"/>
  <c r="AA206" i="2"/>
  <c r="X206" i="2"/>
  <c r="W206" i="2"/>
  <c r="Q206" i="2"/>
  <c r="P206" i="2"/>
  <c r="O206" i="2"/>
  <c r="N206" i="2"/>
  <c r="M206" i="2"/>
  <c r="K206" i="2"/>
  <c r="J206" i="2"/>
  <c r="I206" i="2"/>
  <c r="H206" i="2" s="1"/>
  <c r="F206" i="2"/>
  <c r="E206" i="2"/>
  <c r="D206" i="2"/>
  <c r="C206" i="2"/>
  <c r="AY204" i="2"/>
  <c r="AX204" i="2"/>
  <c r="AW204" i="2" s="1"/>
  <c r="AV204" i="2"/>
  <c r="AU204" i="2"/>
  <c r="AT204" i="2"/>
  <c r="AS204" i="2"/>
  <c r="AR204" i="2"/>
  <c r="AQ204" i="2" s="1"/>
  <c r="AN204" i="2"/>
  <c r="AF204" i="2"/>
  <c r="AE204" i="2"/>
  <c r="Y204" i="2"/>
  <c r="V204" i="2" s="1"/>
  <c r="U204" i="2"/>
  <c r="O204" i="2"/>
  <c r="M204" i="2"/>
  <c r="L204" i="2" s="1"/>
  <c r="I204" i="2"/>
  <c r="AY203" i="2"/>
  <c r="AX203" i="2"/>
  <c r="AU203" i="2"/>
  <c r="AT203" i="2"/>
  <c r="AR203" i="2"/>
  <c r="AM203" i="2"/>
  <c r="AF203" i="2"/>
  <c r="AE203" i="2"/>
  <c r="Z203" i="2"/>
  <c r="Y203" i="2"/>
  <c r="V203" i="2"/>
  <c r="U203" i="2"/>
  <c r="T203" i="2"/>
  <c r="O203" i="2"/>
  <c r="M203" i="2"/>
  <c r="L203" i="2" s="1"/>
  <c r="I203" i="2"/>
  <c r="H203" i="2" s="1"/>
  <c r="AZ202" i="2"/>
  <c r="AY202" i="2"/>
  <c r="AX202" i="2"/>
  <c r="AV202" i="2"/>
  <c r="AW202" i="2" s="1"/>
  <c r="AU202" i="2"/>
  <c r="AT202" i="2"/>
  <c r="AS202" i="2" s="1"/>
  <c r="AR202" i="2"/>
  <c r="AQ202" i="2"/>
  <c r="AM202" i="2"/>
  <c r="AF202" i="2"/>
  <c r="AE202" i="2"/>
  <c r="Y202" i="2"/>
  <c r="V202" i="2"/>
  <c r="U202" i="2"/>
  <c r="T202" i="2" s="1"/>
  <c r="O202" i="2"/>
  <c r="M202" i="2"/>
  <c r="L202" i="2"/>
  <c r="I202" i="2"/>
  <c r="H202" i="2" s="1"/>
  <c r="AZ201" i="2"/>
  <c r="AY201" i="2"/>
  <c r="AX201" i="2"/>
  <c r="AV201" i="2"/>
  <c r="AW201" i="2" s="1"/>
  <c r="AU201" i="2"/>
  <c r="AT201" i="2"/>
  <c r="AS201" i="2" s="1"/>
  <c r="AR201" i="2"/>
  <c r="AQ201" i="2"/>
  <c r="AM201" i="2"/>
  <c r="AF201" i="2"/>
  <c r="AE201" i="2"/>
  <c r="Y201" i="2"/>
  <c r="U201" i="2"/>
  <c r="O201" i="2"/>
  <c r="M201" i="2"/>
  <c r="L201" i="2" s="1"/>
  <c r="I201" i="2"/>
  <c r="H201" i="2"/>
  <c r="AY200" i="2"/>
  <c r="BA200" i="2" s="1"/>
  <c r="AX200" i="2"/>
  <c r="AZ200" i="2" s="1"/>
  <c r="AU200" i="2"/>
  <c r="AT200" i="2"/>
  <c r="AR200" i="2"/>
  <c r="AQ200" i="2" s="1"/>
  <c r="AM200" i="2"/>
  <c r="AV200" i="2" s="1"/>
  <c r="AF200" i="2"/>
  <c r="AE200" i="2"/>
  <c r="Y200" i="2"/>
  <c r="Z200" i="2" s="1"/>
  <c r="U200" i="2"/>
  <c r="O200" i="2"/>
  <c r="M200" i="2"/>
  <c r="L200" i="2"/>
  <c r="I200" i="2"/>
  <c r="H200" i="2" s="1"/>
  <c r="BA199" i="2"/>
  <c r="AY199" i="2"/>
  <c r="AX199" i="2"/>
  <c r="AU199" i="2"/>
  <c r="AT199" i="2"/>
  <c r="AS199" i="2"/>
  <c r="AR199" i="2"/>
  <c r="AM199" i="2"/>
  <c r="AF199" i="2"/>
  <c r="AE199" i="2"/>
  <c r="Y199" i="2"/>
  <c r="V199" i="2" s="1"/>
  <c r="U199" i="2"/>
  <c r="T199" i="2"/>
  <c r="O199" i="2"/>
  <c r="M199" i="2"/>
  <c r="I199" i="2"/>
  <c r="H199" i="2"/>
  <c r="AY198" i="2"/>
  <c r="AY197" i="2" s="1"/>
  <c r="AX198" i="2"/>
  <c r="AU198" i="2"/>
  <c r="AS198" i="2" s="1"/>
  <c r="AT198" i="2"/>
  <c r="AZ198" i="2" s="1"/>
  <c r="AR198" i="2"/>
  <c r="AM198" i="2"/>
  <c r="AF198" i="2"/>
  <c r="AE198" i="2"/>
  <c r="Y198" i="2"/>
  <c r="U198" i="2"/>
  <c r="T198" i="2"/>
  <c r="R198" i="2"/>
  <c r="O198" i="2"/>
  <c r="O197" i="2" s="1"/>
  <c r="M198" i="2"/>
  <c r="L198" i="2"/>
  <c r="I198" i="2"/>
  <c r="H198" i="2"/>
  <c r="AR197" i="2"/>
  <c r="AP197" i="2"/>
  <c r="AO197" i="2"/>
  <c r="AN197" i="2"/>
  <c r="AM197" i="2"/>
  <c r="AE197" i="2"/>
  <c r="AB197" i="2"/>
  <c r="AA197" i="2"/>
  <c r="Y197" i="2"/>
  <c r="X197" i="2"/>
  <c r="W197" i="2"/>
  <c r="U197" i="2"/>
  <c r="Q197" i="2"/>
  <c r="P197" i="2"/>
  <c r="N197" i="2"/>
  <c r="K197" i="2"/>
  <c r="J197" i="2"/>
  <c r="F197" i="2"/>
  <c r="E197" i="2"/>
  <c r="D197" i="2"/>
  <c r="C197" i="2"/>
  <c r="BB195" i="2"/>
  <c r="AY195" i="2"/>
  <c r="AX195" i="2"/>
  <c r="AV195" i="2"/>
  <c r="AU195" i="2"/>
  <c r="AT195" i="2"/>
  <c r="AR195" i="2"/>
  <c r="AO195" i="2"/>
  <c r="AN195" i="2"/>
  <c r="AM195" i="2" s="1"/>
  <c r="AF195" i="2"/>
  <c r="AE195" i="2"/>
  <c r="AD195" i="2"/>
  <c r="AC195" i="2" s="1"/>
  <c r="Y195" i="2"/>
  <c r="U195" i="2"/>
  <c r="T195" i="2"/>
  <c r="S195" i="2"/>
  <c r="O195" i="2"/>
  <c r="M195" i="2"/>
  <c r="L195" i="2" s="1"/>
  <c r="I195" i="2"/>
  <c r="H195" i="2" s="1"/>
  <c r="AY194" i="2"/>
  <c r="BA194" i="2" s="1"/>
  <c r="AX194" i="2"/>
  <c r="AU194" i="2"/>
  <c r="AT194" i="2"/>
  <c r="AZ194" i="2" s="1"/>
  <c r="AR194" i="2"/>
  <c r="AM194" i="2"/>
  <c r="AL194" i="2"/>
  <c r="AF194" i="2"/>
  <c r="AE194" i="2"/>
  <c r="Y194" i="2"/>
  <c r="U194" i="2"/>
  <c r="P194" i="2"/>
  <c r="AN194" i="2" s="1"/>
  <c r="O194" i="2"/>
  <c r="M194" i="2"/>
  <c r="L194" i="2"/>
  <c r="I194" i="2"/>
  <c r="H194" i="2"/>
  <c r="AY193" i="2"/>
  <c r="AX193" i="2"/>
  <c r="AU193" i="2"/>
  <c r="BA193" i="2" s="1"/>
  <c r="AZ193" i="2" s="1"/>
  <c r="AT193" i="2"/>
  <c r="AR193" i="2"/>
  <c r="AM193" i="2"/>
  <c r="AV193" i="2" s="1"/>
  <c r="AQ193" i="2" s="1"/>
  <c r="AF193" i="2"/>
  <c r="AE193" i="2"/>
  <c r="Z193" i="2"/>
  <c r="Y193" i="2"/>
  <c r="U193" i="2"/>
  <c r="T193" i="2" s="1"/>
  <c r="O193" i="2"/>
  <c r="M193" i="2"/>
  <c r="L193" i="2" s="1"/>
  <c r="I193" i="2"/>
  <c r="H193" i="2" s="1"/>
  <c r="AY192" i="2"/>
  <c r="AX192" i="2"/>
  <c r="AU192" i="2"/>
  <c r="AT192" i="2"/>
  <c r="AR192" i="2"/>
  <c r="AN192" i="2"/>
  <c r="AM192" i="2"/>
  <c r="AL192" i="2" s="1"/>
  <c r="AF192" i="2"/>
  <c r="AE192" i="2"/>
  <c r="Y192" i="2"/>
  <c r="Z192" i="2" s="1"/>
  <c r="U192" i="2"/>
  <c r="O192" i="2"/>
  <c r="M192" i="2"/>
  <c r="L192" i="2" s="1"/>
  <c r="I192" i="2"/>
  <c r="H192" i="2" s="1"/>
  <c r="BC191" i="2" s="1"/>
  <c r="BB191" i="2"/>
  <c r="AY191" i="2"/>
  <c r="BA191" i="2" s="1"/>
  <c r="AX191" i="2"/>
  <c r="AV191" i="2"/>
  <c r="AM191" i="2" s="1"/>
  <c r="AU191" i="2"/>
  <c r="AT191" i="2"/>
  <c r="AR191" i="2" s="1"/>
  <c r="AQ191" i="2" s="1"/>
  <c r="AL191" i="2"/>
  <c r="AF191" i="2"/>
  <c r="AE191" i="2"/>
  <c r="Y191" i="2"/>
  <c r="V191" i="2"/>
  <c r="U191" i="2"/>
  <c r="T191" i="2" s="1"/>
  <c r="S191" i="2"/>
  <c r="O191" i="2"/>
  <c r="M191" i="2"/>
  <c r="I191" i="2"/>
  <c r="H191" i="2"/>
  <c r="BC190" i="2" s="1"/>
  <c r="BB190" i="2"/>
  <c r="AY190" i="2"/>
  <c r="AX190" i="2"/>
  <c r="AV190" i="2"/>
  <c r="AU190" i="2"/>
  <c r="AR190" i="2" s="1"/>
  <c r="AT190" i="2"/>
  <c r="AN190" i="2"/>
  <c r="AN188" i="2" s="1"/>
  <c r="AM190" i="2"/>
  <c r="AF190" i="2"/>
  <c r="AE190" i="2"/>
  <c r="Y190" i="2"/>
  <c r="S190" i="2" s="1"/>
  <c r="U190" i="2"/>
  <c r="O190" i="2"/>
  <c r="M190" i="2"/>
  <c r="L190" i="2"/>
  <c r="I190" i="2"/>
  <c r="H190" i="2"/>
  <c r="BA189" i="2"/>
  <c r="AY189" i="2"/>
  <c r="AX189" i="2"/>
  <c r="AU189" i="2"/>
  <c r="AT189" i="2"/>
  <c r="AM189" i="2"/>
  <c r="AH189" i="2"/>
  <c r="AF189" i="2"/>
  <c r="AE189" i="2"/>
  <c r="Z189" i="2"/>
  <c r="AD189" i="2" s="1"/>
  <c r="Y189" i="2"/>
  <c r="V189" i="2"/>
  <c r="U189" i="2"/>
  <c r="O189" i="2"/>
  <c r="M189" i="2"/>
  <c r="L189" i="2" s="1"/>
  <c r="I189" i="2"/>
  <c r="BD188" i="2"/>
  <c r="AX188" i="2"/>
  <c r="AP188" i="2"/>
  <c r="AO188" i="2"/>
  <c r="AM188" i="2"/>
  <c r="AH188" i="2"/>
  <c r="AF188" i="2"/>
  <c r="AB188" i="2"/>
  <c r="AA188" i="2"/>
  <c r="Y188" i="2"/>
  <c r="X188" i="2"/>
  <c r="W188" i="2"/>
  <c r="U188" i="2"/>
  <c r="Q188" i="2"/>
  <c r="P188" i="2"/>
  <c r="N188" i="2"/>
  <c r="K188" i="2"/>
  <c r="J188" i="2"/>
  <c r="F188" i="2"/>
  <c r="E188" i="2"/>
  <c r="D188" i="2"/>
  <c r="C188" i="2"/>
  <c r="AN187" i="2"/>
  <c r="AY186" i="2"/>
  <c r="AX186" i="2"/>
  <c r="AZ186" i="2" s="1"/>
  <c r="AU186" i="2"/>
  <c r="AT186" i="2"/>
  <c r="AR186" i="2"/>
  <c r="AQ186" i="2" s="1"/>
  <c r="AM186" i="2"/>
  <c r="AV186" i="2" s="1"/>
  <c r="AW186" i="2" s="1"/>
  <c r="AF186" i="2"/>
  <c r="AE186" i="2"/>
  <c r="Y186" i="2"/>
  <c r="Z186" i="2" s="1"/>
  <c r="U186" i="2"/>
  <c r="T186" i="2"/>
  <c r="O186" i="2"/>
  <c r="M186" i="2"/>
  <c r="L186" i="2" s="1"/>
  <c r="I186" i="2"/>
  <c r="H186" i="2" s="1"/>
  <c r="AY185" i="2"/>
  <c r="BA185" i="2" s="1"/>
  <c r="AX185" i="2"/>
  <c r="AU185" i="2"/>
  <c r="AT185" i="2"/>
  <c r="AZ185" i="2" s="1"/>
  <c r="AR185" i="2"/>
  <c r="AM185" i="2"/>
  <c r="AV185" i="2" s="1"/>
  <c r="AF185" i="2"/>
  <c r="AE185" i="2"/>
  <c r="Y185" i="2"/>
  <c r="U185" i="2"/>
  <c r="O185" i="2"/>
  <c r="M185" i="2"/>
  <c r="L185" i="2" s="1"/>
  <c r="I185" i="2"/>
  <c r="H185" i="2" s="1"/>
  <c r="BB184" i="2"/>
  <c r="AY184" i="2"/>
  <c r="AX184" i="2"/>
  <c r="AW184" i="2" s="1"/>
  <c r="AV184" i="2"/>
  <c r="AU184" i="2"/>
  <c r="BA184" i="2" s="1"/>
  <c r="AT184" i="2"/>
  <c r="AS184" i="2"/>
  <c r="AR184" i="2"/>
  <c r="AQ184" i="2"/>
  <c r="AM184" i="2"/>
  <c r="AF184" i="2"/>
  <c r="AE184" i="2"/>
  <c r="Z184" i="2"/>
  <c r="Y184" i="2"/>
  <c r="U184" i="2"/>
  <c r="T184" i="2" s="1"/>
  <c r="O184" i="2"/>
  <c r="M184" i="2"/>
  <c r="L184" i="2"/>
  <c r="I184" i="2"/>
  <c r="H184" i="2"/>
  <c r="AZ183" i="2"/>
  <c r="AY183" i="2"/>
  <c r="AX183" i="2"/>
  <c r="AW183" i="2" s="1"/>
  <c r="AV183" i="2"/>
  <c r="AU183" i="2"/>
  <c r="BA183" i="2" s="1"/>
  <c r="AT183" i="2"/>
  <c r="AR183" i="2"/>
  <c r="AQ183" i="2"/>
  <c r="AM183" i="2"/>
  <c r="AF183" i="2"/>
  <c r="AE183" i="2"/>
  <c r="Y183" i="2"/>
  <c r="U183" i="2"/>
  <c r="T183" i="2"/>
  <c r="O183" i="2"/>
  <c r="M183" i="2"/>
  <c r="L183" i="2" s="1"/>
  <c r="I183" i="2"/>
  <c r="H183" i="2" s="1"/>
  <c r="AY182" i="2"/>
  <c r="BA182" i="2" s="1"/>
  <c r="AX182" i="2"/>
  <c r="AU182" i="2"/>
  <c r="AT182" i="2"/>
  <c r="AR182" i="2"/>
  <c r="AM182" i="2"/>
  <c r="AF182" i="2"/>
  <c r="AE182" i="2"/>
  <c r="Y182" i="2"/>
  <c r="V182" i="2"/>
  <c r="U182" i="2"/>
  <c r="T182" i="2" s="1"/>
  <c r="O182" i="2"/>
  <c r="M182" i="2"/>
  <c r="L182" i="2"/>
  <c r="I182" i="2"/>
  <c r="H182" i="2"/>
  <c r="AY181" i="2"/>
  <c r="BA181" i="2" s="1"/>
  <c r="AX181" i="2"/>
  <c r="AU181" i="2"/>
  <c r="AT181" i="2"/>
  <c r="AR181" i="2"/>
  <c r="AM181" i="2"/>
  <c r="AF181" i="2"/>
  <c r="AE181" i="2"/>
  <c r="Y181" i="2"/>
  <c r="Z181" i="2" s="1"/>
  <c r="U181" i="2"/>
  <c r="V181" i="2" s="1"/>
  <c r="O181" i="2"/>
  <c r="M181" i="2"/>
  <c r="L181" i="2"/>
  <c r="I181" i="2"/>
  <c r="H181" i="2"/>
  <c r="BA180" i="2"/>
  <c r="AY180" i="2"/>
  <c r="AX180" i="2"/>
  <c r="AZ180" i="2" s="1"/>
  <c r="AU180" i="2"/>
  <c r="AT180" i="2"/>
  <c r="AS180" i="2"/>
  <c r="AR180" i="2"/>
  <c r="AN180" i="2"/>
  <c r="AN179" i="2" s="1"/>
  <c r="AM180" i="2"/>
  <c r="AV180" i="2" s="1"/>
  <c r="AW180" i="2" s="1"/>
  <c r="AF180" i="2"/>
  <c r="AE180" i="2"/>
  <c r="AE179" i="2" s="1"/>
  <c r="Y180" i="2"/>
  <c r="U180" i="2"/>
  <c r="T180" i="2" s="1"/>
  <c r="O180" i="2"/>
  <c r="M180" i="2"/>
  <c r="L180" i="2" s="1"/>
  <c r="L179" i="2" s="1"/>
  <c r="I180" i="2"/>
  <c r="H180" i="2" s="1"/>
  <c r="AX179" i="2"/>
  <c r="AP179" i="2"/>
  <c r="AO179" i="2"/>
  <c r="AM179" i="2"/>
  <c r="AF179" i="2"/>
  <c r="AB179" i="2"/>
  <c r="AA179" i="2"/>
  <c r="Y179" i="2"/>
  <c r="X179" i="2"/>
  <c r="W179" i="2"/>
  <c r="Q179" i="2"/>
  <c r="P179" i="2"/>
  <c r="O179" i="2"/>
  <c r="N179" i="2"/>
  <c r="M179" i="2"/>
  <c r="K179" i="2"/>
  <c r="J179" i="2"/>
  <c r="F179" i="2"/>
  <c r="E179" i="2"/>
  <c r="D179" i="2"/>
  <c r="C179" i="2"/>
  <c r="AY177" i="2"/>
  <c r="BA177" i="2" s="1"/>
  <c r="AX177" i="2"/>
  <c r="AU177" i="2"/>
  <c r="AS177" i="2" s="1"/>
  <c r="AT177" i="2"/>
  <c r="AZ177" i="2" s="1"/>
  <c r="AR177" i="2"/>
  <c r="AN177" i="2"/>
  <c r="AF177" i="2"/>
  <c r="AE177" i="2"/>
  <c r="U177" i="2"/>
  <c r="S177" i="2"/>
  <c r="AM177" i="2" s="1"/>
  <c r="O177" i="2"/>
  <c r="M177" i="2" s="1"/>
  <c r="L177" i="2" s="1"/>
  <c r="N177" i="2"/>
  <c r="I177" i="2"/>
  <c r="H177" i="2" s="1"/>
  <c r="AY176" i="2"/>
  <c r="AX176" i="2"/>
  <c r="AU176" i="2"/>
  <c r="AT176" i="2"/>
  <c r="AS176" i="2" s="1"/>
  <c r="AR176" i="2"/>
  <c r="AM176" i="2"/>
  <c r="AF176" i="2"/>
  <c r="AE176" i="2"/>
  <c r="Y176" i="2"/>
  <c r="U176" i="2"/>
  <c r="T176" i="2" s="1"/>
  <c r="O176" i="2"/>
  <c r="N176" i="2"/>
  <c r="M176" i="2"/>
  <c r="L176" i="2" s="1"/>
  <c r="I176" i="2"/>
  <c r="H176" i="2" s="1"/>
  <c r="AY175" i="2"/>
  <c r="AY170" i="2" s="1"/>
  <c r="AX170" i="2" s="1"/>
  <c r="AX175" i="2"/>
  <c r="AV175" i="2"/>
  <c r="AU175" i="2"/>
  <c r="AT175" i="2"/>
  <c r="AS175" i="2" s="1"/>
  <c r="AR175" i="2"/>
  <c r="AQ175" i="2"/>
  <c r="AM175" i="2"/>
  <c r="AF175" i="2"/>
  <c r="AE175" i="2"/>
  <c r="Z175" i="2"/>
  <c r="Y175" i="2"/>
  <c r="V175" i="2"/>
  <c r="U175" i="2"/>
  <c r="T175" i="2" s="1"/>
  <c r="N175" i="2"/>
  <c r="M175" i="2"/>
  <c r="L175" i="2" s="1"/>
  <c r="I175" i="2"/>
  <c r="H175" i="2" s="1"/>
  <c r="AY174" i="2"/>
  <c r="AX174" i="2"/>
  <c r="AZ174" i="2" s="1"/>
  <c r="AU174" i="2"/>
  <c r="AT174" i="2"/>
  <c r="AR174" i="2"/>
  <c r="AN174" i="2"/>
  <c r="AM174" i="2" s="1"/>
  <c r="AF174" i="2"/>
  <c r="AE174" i="2"/>
  <c r="V174" i="2"/>
  <c r="U174" i="2"/>
  <c r="S174" i="2"/>
  <c r="Y174" i="2" s="1"/>
  <c r="O174" i="2"/>
  <c r="M174" i="2" s="1"/>
  <c r="L174" i="2" s="1"/>
  <c r="N174" i="2"/>
  <c r="I174" i="2"/>
  <c r="H174" i="2" s="1"/>
  <c r="BA173" i="2"/>
  <c r="AY173" i="2"/>
  <c r="AX173" i="2"/>
  <c r="AU173" i="2"/>
  <c r="AT173" i="2"/>
  <c r="AR173" i="2"/>
  <c r="AF173" i="2"/>
  <c r="AE173" i="2"/>
  <c r="U173" i="2"/>
  <c r="S173" i="2"/>
  <c r="AM173" i="2" s="1"/>
  <c r="N173" i="2"/>
  <c r="M173" i="2"/>
  <c r="L173" i="2" s="1"/>
  <c r="I173" i="2"/>
  <c r="H173" i="2" s="1"/>
  <c r="AY172" i="2"/>
  <c r="AX172" i="2"/>
  <c r="AZ172" i="2" s="1"/>
  <c r="AU172" i="2"/>
  <c r="AT172" i="2"/>
  <c r="AR172" i="2"/>
  <c r="AN172" i="2"/>
  <c r="AM172" i="2"/>
  <c r="AF172" i="2"/>
  <c r="AE172" i="2"/>
  <c r="Y172" i="2"/>
  <c r="U172" i="2"/>
  <c r="V172" i="2" s="1"/>
  <c r="O172" i="2"/>
  <c r="M172" i="2" s="1"/>
  <c r="L172" i="2" s="1"/>
  <c r="N172" i="2"/>
  <c r="I172" i="2"/>
  <c r="H172" i="2" s="1"/>
  <c r="AY171" i="2"/>
  <c r="AX171" i="2"/>
  <c r="AZ171" i="2" s="1"/>
  <c r="AV171" i="2"/>
  <c r="AW171" i="2" s="1"/>
  <c r="AU171" i="2"/>
  <c r="AT171" i="2"/>
  <c r="AS171" i="2" s="1"/>
  <c r="AR171" i="2"/>
  <c r="AQ171" i="2"/>
  <c r="AM171" i="2"/>
  <c r="AF171" i="2"/>
  <c r="AF170" i="2" s="1"/>
  <c r="AE170" i="2" s="1"/>
  <c r="AE171" i="2"/>
  <c r="Y171" i="2"/>
  <c r="U171" i="2"/>
  <c r="T171" i="2" s="1"/>
  <c r="N171" i="2"/>
  <c r="N170" i="2" s="1"/>
  <c r="M171" i="2"/>
  <c r="L171" i="2"/>
  <c r="I171" i="2"/>
  <c r="H171" i="2"/>
  <c r="H170" i="2" s="1"/>
  <c r="AP170" i="2"/>
  <c r="AO170" i="2"/>
  <c r="AN170" i="2"/>
  <c r="AM170" i="2"/>
  <c r="AB170" i="2"/>
  <c r="AA170" i="2"/>
  <c r="X170" i="2"/>
  <c r="W170" i="2"/>
  <c r="U170" i="2"/>
  <c r="Q170" i="2"/>
  <c r="P170" i="2"/>
  <c r="K170" i="2"/>
  <c r="J170" i="2"/>
  <c r="I170" i="2"/>
  <c r="F170" i="2"/>
  <c r="E170" i="2"/>
  <c r="D170" i="2"/>
  <c r="C170" i="2"/>
  <c r="AY168" i="2"/>
  <c r="AX168" i="2"/>
  <c r="AU168" i="2"/>
  <c r="AS168" i="2" s="1"/>
  <c r="AT168" i="2"/>
  <c r="AR168" i="2"/>
  <c r="AN168" i="2"/>
  <c r="AM168" i="2"/>
  <c r="AF168" i="2"/>
  <c r="AE168" i="2"/>
  <c r="Y168" i="2"/>
  <c r="Z168" i="2" s="1"/>
  <c r="U168" i="2"/>
  <c r="T168" i="2" s="1"/>
  <c r="O168" i="2"/>
  <c r="M168" i="2"/>
  <c r="L168" i="2"/>
  <c r="I168" i="2"/>
  <c r="H168" i="2" s="1"/>
  <c r="AY167" i="2"/>
  <c r="AX167" i="2"/>
  <c r="AZ167" i="2" s="1"/>
  <c r="AV167" i="2"/>
  <c r="AW167" i="2" s="1"/>
  <c r="AU167" i="2"/>
  <c r="AT167" i="2"/>
  <c r="AS167" i="2" s="1"/>
  <c r="AR167" i="2"/>
  <c r="AQ167" i="2"/>
  <c r="AM167" i="2"/>
  <c r="AF167" i="2"/>
  <c r="AE167" i="2"/>
  <c r="Y167" i="2"/>
  <c r="V167" i="2"/>
  <c r="U167" i="2"/>
  <c r="O167" i="2"/>
  <c r="M167" i="2"/>
  <c r="L167" i="2"/>
  <c r="I167" i="2"/>
  <c r="H167" i="2"/>
  <c r="BA166" i="2"/>
  <c r="AY166" i="2"/>
  <c r="AX166" i="2"/>
  <c r="AZ166" i="2" s="1"/>
  <c r="AV166" i="2"/>
  <c r="AU166" i="2"/>
  <c r="AT166" i="2"/>
  <c r="AS166" i="2" s="1"/>
  <c r="AR166" i="2"/>
  <c r="AQ166" i="2"/>
  <c r="AM166" i="2"/>
  <c r="AF166" i="2"/>
  <c r="AE166" i="2"/>
  <c r="Z166" i="2"/>
  <c r="Y166" i="2"/>
  <c r="V166" i="2"/>
  <c r="U166" i="2"/>
  <c r="T166" i="2"/>
  <c r="O166" i="2"/>
  <c r="M166" i="2"/>
  <c r="L166" i="2" s="1"/>
  <c r="I166" i="2"/>
  <c r="H166" i="2" s="1"/>
  <c r="AY165" i="2"/>
  <c r="AX165" i="2"/>
  <c r="AT165" i="2"/>
  <c r="AR165" i="2"/>
  <c r="AN165" i="2"/>
  <c r="AM165" i="2"/>
  <c r="AF165" i="2"/>
  <c r="AE165" i="2"/>
  <c r="V165" i="2"/>
  <c r="U165" i="2"/>
  <c r="S165" i="2"/>
  <c r="O165" i="2"/>
  <c r="M165" i="2"/>
  <c r="L165" i="2"/>
  <c r="I165" i="2"/>
  <c r="H165" i="2"/>
  <c r="AY164" i="2"/>
  <c r="BA164" i="2" s="1"/>
  <c r="AX164" i="2"/>
  <c r="AU164" i="2"/>
  <c r="AT164" i="2"/>
  <c r="AR164" i="2"/>
  <c r="AM164" i="2"/>
  <c r="AV164" i="2" s="1"/>
  <c r="AF164" i="2"/>
  <c r="AE164" i="2"/>
  <c r="Y164" i="2"/>
  <c r="Z164" i="2" s="1"/>
  <c r="U164" i="2"/>
  <c r="T164" i="2" s="1"/>
  <c r="O164" i="2"/>
  <c r="M164" i="2"/>
  <c r="L164" i="2"/>
  <c r="I164" i="2"/>
  <c r="H164" i="2" s="1"/>
  <c r="AY163" i="2"/>
  <c r="AX163" i="2"/>
  <c r="AU163" i="2"/>
  <c r="AS163" i="2" s="1"/>
  <c r="AT163" i="2"/>
  <c r="AR163" i="2"/>
  <c r="AM163" i="2"/>
  <c r="AF163" i="2"/>
  <c r="AE163" i="2"/>
  <c r="AE161" i="2" s="1"/>
  <c r="Y163" i="2"/>
  <c r="U163" i="2"/>
  <c r="T163" i="2" s="1"/>
  <c r="O163" i="2"/>
  <c r="O161" i="2" s="1"/>
  <c r="M163" i="2"/>
  <c r="L163" i="2"/>
  <c r="I163" i="2"/>
  <c r="H163" i="2"/>
  <c r="AY162" i="2"/>
  <c r="AX162" i="2"/>
  <c r="AX161" i="2" s="1"/>
  <c r="AU162" i="2"/>
  <c r="AT162" i="2"/>
  <c r="AR162" i="2"/>
  <c r="AM162" i="2"/>
  <c r="AF162" i="2"/>
  <c r="AE162" i="2"/>
  <c r="Z162" i="2"/>
  <c r="Y162" i="2"/>
  <c r="V162" i="2"/>
  <c r="AD162" i="2" s="1"/>
  <c r="U162" i="2"/>
  <c r="T162" i="2"/>
  <c r="O162" i="2"/>
  <c r="M162" i="2"/>
  <c r="L162" i="2" s="1"/>
  <c r="L161" i="2" s="1"/>
  <c r="I162" i="2"/>
  <c r="H162" i="2" s="1"/>
  <c r="AY161" i="2"/>
  <c r="AP161" i="2"/>
  <c r="AO161" i="2"/>
  <c r="AR161" i="2" s="1"/>
  <c r="AN161" i="2"/>
  <c r="AM161" i="2"/>
  <c r="AB161" i="2"/>
  <c r="AA161" i="2"/>
  <c r="X161" i="2"/>
  <c r="W161" i="2"/>
  <c r="U161" i="2"/>
  <c r="Q161" i="2"/>
  <c r="P161" i="2"/>
  <c r="N161" i="2"/>
  <c r="K161" i="2"/>
  <c r="J161" i="2"/>
  <c r="F161" i="2"/>
  <c r="E161" i="2"/>
  <c r="D161" i="2"/>
  <c r="C161" i="2"/>
  <c r="AN160" i="2"/>
  <c r="AY159" i="2"/>
  <c r="AX159" i="2"/>
  <c r="AU159" i="2"/>
  <c r="AT159" i="2"/>
  <c r="AR159" i="2"/>
  <c r="AF159" i="2"/>
  <c r="AE159" i="2"/>
  <c r="U159" i="2"/>
  <c r="S159" i="2"/>
  <c r="AM159" i="2" s="1"/>
  <c r="O159" i="2"/>
  <c r="M159" i="2"/>
  <c r="L159" i="2" s="1"/>
  <c r="I159" i="2"/>
  <c r="H159" i="2" s="1"/>
  <c r="BA158" i="2"/>
  <c r="AY158" i="2"/>
  <c r="AX158" i="2"/>
  <c r="AU158" i="2"/>
  <c r="AT158" i="2"/>
  <c r="AZ158" i="2" s="1"/>
  <c r="AR158" i="2"/>
  <c r="AM158" i="2"/>
  <c r="AV158" i="2" s="1"/>
  <c r="AF158" i="2"/>
  <c r="AE158" i="2"/>
  <c r="Z158" i="2"/>
  <c r="Y158" i="2"/>
  <c r="U158" i="2"/>
  <c r="T158" i="2" s="1"/>
  <c r="O158" i="2"/>
  <c r="M158" i="2"/>
  <c r="L158" i="2"/>
  <c r="I158" i="2"/>
  <c r="H158" i="2" s="1"/>
  <c r="BA157" i="2"/>
  <c r="AY157" i="2"/>
  <c r="AX157" i="2"/>
  <c r="AU157" i="2"/>
  <c r="AT157" i="2"/>
  <c r="AS157" i="2"/>
  <c r="AR157" i="2"/>
  <c r="AM157" i="2"/>
  <c r="AF157" i="2"/>
  <c r="AE157" i="2"/>
  <c r="Y157" i="2"/>
  <c r="V157" i="2"/>
  <c r="U157" i="2"/>
  <c r="T157" i="2"/>
  <c r="O157" i="2"/>
  <c r="M157" i="2"/>
  <c r="L157" i="2" s="1"/>
  <c r="I157" i="2"/>
  <c r="H157" i="2" s="1"/>
  <c r="AY156" i="2"/>
  <c r="BA156" i="2" s="1"/>
  <c r="AX156" i="2"/>
  <c r="AU156" i="2"/>
  <c r="AT156" i="2"/>
  <c r="AR156" i="2"/>
  <c r="AM156" i="2"/>
  <c r="AF156" i="2"/>
  <c r="AE156" i="2"/>
  <c r="Y156" i="2"/>
  <c r="U156" i="2"/>
  <c r="O156" i="2"/>
  <c r="M156" i="2"/>
  <c r="L156" i="2" s="1"/>
  <c r="I156" i="2"/>
  <c r="H156" i="2" s="1"/>
  <c r="AZ155" i="2"/>
  <c r="AY155" i="2"/>
  <c r="AX155" i="2"/>
  <c r="AU155" i="2"/>
  <c r="AT155" i="2"/>
  <c r="AR155" i="2"/>
  <c r="AF155" i="2"/>
  <c r="AE155" i="2"/>
  <c r="U155" i="2"/>
  <c r="S155" i="2"/>
  <c r="AM155" i="2" s="1"/>
  <c r="O155" i="2"/>
  <c r="M155" i="2"/>
  <c r="L155" i="2" s="1"/>
  <c r="I155" i="2"/>
  <c r="H155" i="2" s="1"/>
  <c r="AY154" i="2"/>
  <c r="AX154" i="2"/>
  <c r="AZ154" i="2" s="1"/>
  <c r="AU154" i="2"/>
  <c r="AS154" i="2" s="1"/>
  <c r="AT154" i="2"/>
  <c r="AR154" i="2"/>
  <c r="AM154" i="2"/>
  <c r="AF154" i="2"/>
  <c r="AE154" i="2"/>
  <c r="V154" i="2"/>
  <c r="U154" i="2"/>
  <c r="S154" i="2"/>
  <c r="O154" i="2"/>
  <c r="M154" i="2"/>
  <c r="L154" i="2" s="1"/>
  <c r="I154" i="2"/>
  <c r="H154" i="2" s="1"/>
  <c r="BA153" i="2"/>
  <c r="AY153" i="2"/>
  <c r="AX153" i="2"/>
  <c r="AZ153" i="2" s="1"/>
  <c r="AU153" i="2"/>
  <c r="AT153" i="2"/>
  <c r="AS153" i="2" s="1"/>
  <c r="AR153" i="2"/>
  <c r="AN153" i="2"/>
  <c r="AM153" i="2"/>
  <c r="AF153" i="2"/>
  <c r="AE153" i="2"/>
  <c r="Z153" i="2"/>
  <c r="Y153" i="2"/>
  <c r="U153" i="2"/>
  <c r="T153" i="2" s="1"/>
  <c r="O153" i="2"/>
  <c r="M153" i="2"/>
  <c r="L153" i="2"/>
  <c r="I153" i="2"/>
  <c r="H153" i="2" s="1"/>
  <c r="BG152" i="2"/>
  <c r="AY152" i="2"/>
  <c r="AX152" i="2"/>
  <c r="AU152" i="2"/>
  <c r="AT152" i="2"/>
  <c r="AP152" i="2"/>
  <c r="AO152" i="2"/>
  <c r="AR152" i="2" s="1"/>
  <c r="AN152" i="2"/>
  <c r="AM152" i="2"/>
  <c r="AH152" i="2"/>
  <c r="AE152" i="2"/>
  <c r="AB152" i="2"/>
  <c r="AA152" i="2"/>
  <c r="X152" i="2"/>
  <c r="W152" i="2"/>
  <c r="U152" i="2"/>
  <c r="Q152" i="2"/>
  <c r="P152" i="2"/>
  <c r="O152" i="2"/>
  <c r="N152" i="2"/>
  <c r="M152" i="2"/>
  <c r="L152" i="2"/>
  <c r="K152" i="2"/>
  <c r="J152" i="2"/>
  <c r="I152" i="2"/>
  <c r="H152" i="2"/>
  <c r="F152" i="2"/>
  <c r="E152" i="2"/>
  <c r="D152" i="2"/>
  <c r="C152" i="2"/>
  <c r="BA150" i="2"/>
  <c r="AY150" i="2"/>
  <c r="AX150" i="2"/>
  <c r="AU150" i="2"/>
  <c r="AT150" i="2"/>
  <c r="AR150" i="2"/>
  <c r="AN150" i="2"/>
  <c r="AF150" i="2"/>
  <c r="AE150" i="2"/>
  <c r="U150" i="2"/>
  <c r="S150" i="2"/>
  <c r="AM150" i="2" s="1"/>
  <c r="N150" i="2"/>
  <c r="M150" i="2"/>
  <c r="L150" i="2" s="1"/>
  <c r="I150" i="2"/>
  <c r="H150" i="2" s="1"/>
  <c r="AY149" i="2"/>
  <c r="AX149" i="2"/>
  <c r="AU149" i="2"/>
  <c r="AT149" i="2"/>
  <c r="AS149" i="2" s="1"/>
  <c r="AR149" i="2"/>
  <c r="AF149" i="2"/>
  <c r="AE149" i="2"/>
  <c r="V149" i="2"/>
  <c r="U149" i="2"/>
  <c r="S149" i="2"/>
  <c r="AM149" i="2" s="1"/>
  <c r="O149" i="2"/>
  <c r="M149" i="2" s="1"/>
  <c r="L149" i="2" s="1"/>
  <c r="N149" i="2"/>
  <c r="I149" i="2"/>
  <c r="H149" i="2"/>
  <c r="AY148" i="2"/>
  <c r="AX148" i="2"/>
  <c r="AZ148" i="2" s="1"/>
  <c r="AU148" i="2"/>
  <c r="BA148" i="2" s="1"/>
  <c r="AT148" i="2"/>
  <c r="AR148" i="2"/>
  <c r="AM148" i="2"/>
  <c r="AV148" i="2" s="1"/>
  <c r="AF148" i="2"/>
  <c r="AE148" i="2"/>
  <c r="Z148" i="2"/>
  <c r="Y148" i="2"/>
  <c r="U148" i="2"/>
  <c r="T148" i="2" s="1"/>
  <c r="N148" i="2"/>
  <c r="M148" i="2"/>
  <c r="L148" i="2" s="1"/>
  <c r="I148" i="2"/>
  <c r="H148" i="2" s="1"/>
  <c r="AY147" i="2"/>
  <c r="BA147" i="2" s="1"/>
  <c r="AX147" i="2"/>
  <c r="AZ147" i="2" s="1"/>
  <c r="AT147" i="2"/>
  <c r="AR147" i="2"/>
  <c r="AN147" i="2"/>
  <c r="AF147" i="2"/>
  <c r="AE147" i="2"/>
  <c r="U147" i="2"/>
  <c r="V147" i="2" s="1"/>
  <c r="S147" i="2"/>
  <c r="AM147" i="2" s="1"/>
  <c r="N147" i="2"/>
  <c r="M147" i="2"/>
  <c r="L147" i="2" s="1"/>
  <c r="I147" i="2"/>
  <c r="H147" i="2"/>
  <c r="AY146" i="2"/>
  <c r="AX146" i="2"/>
  <c r="AZ146" i="2" s="1"/>
  <c r="AU146" i="2"/>
  <c r="BA146" i="2" s="1"/>
  <c r="AT146" i="2"/>
  <c r="AR146" i="2"/>
  <c r="AN146" i="2"/>
  <c r="AF146" i="2"/>
  <c r="AF143" i="2" s="1"/>
  <c r="AE143" i="2" s="1"/>
  <c r="AE146" i="2"/>
  <c r="U146" i="2"/>
  <c r="S146" i="2"/>
  <c r="Y146" i="2" s="1"/>
  <c r="N146" i="2"/>
  <c r="M146" i="2"/>
  <c r="L146" i="2" s="1"/>
  <c r="I146" i="2"/>
  <c r="H146" i="2" s="1"/>
  <c r="BA145" i="2"/>
  <c r="AY145" i="2"/>
  <c r="AX145" i="2"/>
  <c r="AU145" i="2"/>
  <c r="AT145" i="2"/>
  <c r="AR145" i="2"/>
  <c r="AS145" i="2" s="1"/>
  <c r="AN145" i="2"/>
  <c r="AN143" i="2" s="1"/>
  <c r="AF145" i="2"/>
  <c r="AE145" i="2"/>
  <c r="U145" i="2"/>
  <c r="S145" i="2"/>
  <c r="AM145" i="2" s="1"/>
  <c r="O145" i="2"/>
  <c r="M145" i="2" s="1"/>
  <c r="L145" i="2" s="1"/>
  <c r="N145" i="2"/>
  <c r="N143" i="2" s="1"/>
  <c r="I145" i="2"/>
  <c r="H145" i="2"/>
  <c r="AY144" i="2"/>
  <c r="AX144" i="2"/>
  <c r="AV144" i="2"/>
  <c r="AU144" i="2"/>
  <c r="AT144" i="2"/>
  <c r="AS144" i="2" s="1"/>
  <c r="AR144" i="2"/>
  <c r="AQ144" i="2"/>
  <c r="AM144" i="2"/>
  <c r="AF144" i="2"/>
  <c r="AE144" i="2"/>
  <c r="Y144" i="2"/>
  <c r="V144" i="2"/>
  <c r="U144" i="2"/>
  <c r="T144" i="2"/>
  <c r="N144" i="2"/>
  <c r="M144" i="2"/>
  <c r="L144" i="2" s="1"/>
  <c r="I144" i="2"/>
  <c r="H144" i="2" s="1"/>
  <c r="AY143" i="2"/>
  <c r="AP143" i="2"/>
  <c r="AO143" i="2"/>
  <c r="AM143" i="2"/>
  <c r="AB143" i="2"/>
  <c r="AA143" i="2"/>
  <c r="X143" i="2"/>
  <c r="W143" i="2"/>
  <c r="Q143" i="2"/>
  <c r="P143" i="2"/>
  <c r="K143" i="2"/>
  <c r="J143" i="2"/>
  <c r="I143" i="2"/>
  <c r="F143" i="2"/>
  <c r="E143" i="2"/>
  <c r="D143" i="2"/>
  <c r="C143" i="2"/>
  <c r="AY141" i="2"/>
  <c r="AX141" i="2"/>
  <c r="AZ141" i="2" s="1"/>
  <c r="AU141" i="2"/>
  <c r="BA141" i="2" s="1"/>
  <c r="AT141" i="2"/>
  <c r="AR141" i="2"/>
  <c r="AN141" i="2"/>
  <c r="AF141" i="2"/>
  <c r="AE141" i="2"/>
  <c r="U141" i="2"/>
  <c r="T141" i="2" s="1"/>
  <c r="S141" i="2"/>
  <c r="Y141" i="2" s="1"/>
  <c r="O141" i="2"/>
  <c r="M141" i="2"/>
  <c r="L141" i="2" s="1"/>
  <c r="I141" i="2"/>
  <c r="H141" i="2" s="1"/>
  <c r="AY140" i="2"/>
  <c r="BA140" i="2" s="1"/>
  <c r="AZ140" i="2" s="1"/>
  <c r="AX140" i="2"/>
  <c r="AU140" i="2"/>
  <c r="AT140" i="2"/>
  <c r="AR140" i="2"/>
  <c r="AS140" i="2" s="1"/>
  <c r="AM140" i="2"/>
  <c r="AF140" i="2"/>
  <c r="AE140" i="2"/>
  <c r="Y140" i="2"/>
  <c r="U140" i="2"/>
  <c r="T140" i="2" s="1"/>
  <c r="O140" i="2"/>
  <c r="M140" i="2"/>
  <c r="L140" i="2"/>
  <c r="I140" i="2"/>
  <c r="H140" i="2" s="1"/>
  <c r="AY139" i="2"/>
  <c r="AX139" i="2"/>
  <c r="AU139" i="2"/>
  <c r="BA139" i="2" s="1"/>
  <c r="AZ139" i="2" s="1"/>
  <c r="AT139" i="2"/>
  <c r="AS139" i="2"/>
  <c r="AR139" i="2"/>
  <c r="AM139" i="2"/>
  <c r="AF139" i="2"/>
  <c r="AE139" i="2"/>
  <c r="Y139" i="2"/>
  <c r="V139" i="2"/>
  <c r="U139" i="2"/>
  <c r="T139" i="2"/>
  <c r="O139" i="2"/>
  <c r="M139" i="2"/>
  <c r="L139" i="2" s="1"/>
  <c r="L134" i="2" s="1"/>
  <c r="I139" i="2"/>
  <c r="H139" i="2" s="1"/>
  <c r="AY138" i="2"/>
  <c r="BA138" i="2" s="1"/>
  <c r="AZ138" i="2" s="1"/>
  <c r="AX138" i="2"/>
  <c r="AU138" i="2"/>
  <c r="AT138" i="2"/>
  <c r="AR138" i="2"/>
  <c r="AM138" i="2"/>
  <c r="AF138" i="2"/>
  <c r="AE138" i="2"/>
  <c r="Y138" i="2"/>
  <c r="U138" i="2"/>
  <c r="V138" i="2" s="1"/>
  <c r="O138" i="2"/>
  <c r="M138" i="2"/>
  <c r="L138" i="2"/>
  <c r="K138" i="2"/>
  <c r="I138" i="2" s="1"/>
  <c r="H138" i="2" s="1"/>
  <c r="AY137" i="2"/>
  <c r="AX137" i="2"/>
  <c r="AU137" i="2"/>
  <c r="AT137" i="2"/>
  <c r="AS137" i="2" s="1"/>
  <c r="AR137" i="2"/>
  <c r="AF137" i="2"/>
  <c r="AE137" i="2"/>
  <c r="Y137" i="2"/>
  <c r="V137" i="2" s="1"/>
  <c r="U137" i="2"/>
  <c r="T137" i="2"/>
  <c r="S137" i="2"/>
  <c r="AM137" i="2" s="1"/>
  <c r="O137" i="2"/>
  <c r="M137" i="2"/>
  <c r="L137" i="2"/>
  <c r="I137" i="2"/>
  <c r="H137" i="2"/>
  <c r="AY136" i="2"/>
  <c r="AX136" i="2"/>
  <c r="AU136" i="2"/>
  <c r="BA136" i="2" s="1"/>
  <c r="AT136" i="2"/>
  <c r="AZ136" i="2" s="1"/>
  <c r="AR136" i="2"/>
  <c r="AM136" i="2"/>
  <c r="AF136" i="2"/>
  <c r="AE136" i="2"/>
  <c r="Y136" i="2"/>
  <c r="U136" i="2"/>
  <c r="T136" i="2" s="1"/>
  <c r="O136" i="2"/>
  <c r="M136" i="2"/>
  <c r="L136" i="2"/>
  <c r="I136" i="2"/>
  <c r="H136" i="2" s="1"/>
  <c r="AY135" i="2"/>
  <c r="AY134" i="2" s="1"/>
  <c r="AX134" i="2" s="1"/>
  <c r="AX135" i="2"/>
  <c r="AU135" i="2"/>
  <c r="BA135" i="2" s="1"/>
  <c r="AT135" i="2"/>
  <c r="AZ135" i="2" s="1"/>
  <c r="AR135" i="2"/>
  <c r="AM135" i="2"/>
  <c r="AF135" i="2"/>
  <c r="AE135" i="2"/>
  <c r="AE134" i="2" s="1"/>
  <c r="Y135" i="2"/>
  <c r="V135" i="2"/>
  <c r="U135" i="2"/>
  <c r="T135" i="2" s="1"/>
  <c r="O135" i="2"/>
  <c r="O134" i="2" s="1"/>
  <c r="M135" i="2"/>
  <c r="L135" i="2"/>
  <c r="K135" i="2"/>
  <c r="I135" i="2" s="1"/>
  <c r="H135" i="2" s="1"/>
  <c r="AU134" i="2"/>
  <c r="AT134" i="2" s="1"/>
  <c r="AP134" i="2"/>
  <c r="AO134" i="2"/>
  <c r="AR134" i="2" s="1"/>
  <c r="AN134" i="2"/>
  <c r="AM134" i="2"/>
  <c r="AV134" i="2" s="1"/>
  <c r="AH134" i="2"/>
  <c r="AF134" i="2"/>
  <c r="AB134" i="2"/>
  <c r="AA134" i="2"/>
  <c r="X134" i="2"/>
  <c r="W134" i="2"/>
  <c r="Q134" i="2"/>
  <c r="P134" i="2"/>
  <c r="N134" i="2"/>
  <c r="M134" i="2"/>
  <c r="K134" i="2"/>
  <c r="J134" i="2"/>
  <c r="I134" i="2"/>
  <c r="F134" i="2"/>
  <c r="E134" i="2"/>
  <c r="D134" i="2"/>
  <c r="C134" i="2"/>
  <c r="AN133" i="2"/>
  <c r="AY132" i="2"/>
  <c r="AX132" i="2"/>
  <c r="AU132" i="2"/>
  <c r="AT132" i="2"/>
  <c r="AS132" i="2" s="1"/>
  <c r="AR132" i="2"/>
  <c r="AF132" i="2"/>
  <c r="AE132" i="2"/>
  <c r="U132" i="2"/>
  <c r="S132" i="2"/>
  <c r="AM132" i="2" s="1"/>
  <c r="N132" i="2"/>
  <c r="M132" i="2"/>
  <c r="L132" i="2" s="1"/>
  <c r="I132" i="2"/>
  <c r="H132" i="2" s="1"/>
  <c r="AY131" i="2"/>
  <c r="BA131" i="2" s="1"/>
  <c r="AX131" i="2"/>
  <c r="AZ131" i="2" s="1"/>
  <c r="AU131" i="2"/>
  <c r="AT131" i="2"/>
  <c r="AS131" i="2"/>
  <c r="AR131" i="2"/>
  <c r="AM131" i="2"/>
  <c r="AV131" i="2" s="1"/>
  <c r="AQ131" i="2" s="1"/>
  <c r="AF131" i="2"/>
  <c r="AE131" i="2"/>
  <c r="Z131" i="2"/>
  <c r="Y131" i="2"/>
  <c r="U131" i="2"/>
  <c r="T131" i="2" s="1"/>
  <c r="N131" i="2"/>
  <c r="M131" i="2"/>
  <c r="L131" i="2"/>
  <c r="I131" i="2"/>
  <c r="H131" i="2"/>
  <c r="AY130" i="2"/>
  <c r="AX130" i="2"/>
  <c r="AV130" i="2"/>
  <c r="AU130" i="2"/>
  <c r="AT130" i="2"/>
  <c r="AS130" i="2" s="1"/>
  <c r="AR130" i="2"/>
  <c r="AQ130" i="2"/>
  <c r="AM130" i="2"/>
  <c r="AF130" i="2"/>
  <c r="AE130" i="2"/>
  <c r="Z130" i="2"/>
  <c r="Y130" i="2"/>
  <c r="U130" i="2"/>
  <c r="T130" i="2" s="1"/>
  <c r="N130" i="2"/>
  <c r="M130" i="2"/>
  <c r="L130" i="2"/>
  <c r="I130" i="2"/>
  <c r="H130" i="2"/>
  <c r="AZ129" i="2"/>
  <c r="AY129" i="2"/>
  <c r="AX129" i="2"/>
  <c r="AU129" i="2"/>
  <c r="AT129" i="2"/>
  <c r="AR129" i="2"/>
  <c r="AQ129" i="2" s="1"/>
  <c r="AM129" i="2"/>
  <c r="AV129" i="2" s="1"/>
  <c r="AW129" i="2" s="1"/>
  <c r="AF129" i="2"/>
  <c r="AE129" i="2"/>
  <c r="Y129" i="2"/>
  <c r="V129" i="2" s="1"/>
  <c r="U129" i="2"/>
  <c r="T129" i="2"/>
  <c r="N129" i="2"/>
  <c r="M129" i="2"/>
  <c r="L129" i="2" s="1"/>
  <c r="I129" i="2"/>
  <c r="H129" i="2" s="1"/>
  <c r="AY128" i="2"/>
  <c r="AX128" i="2"/>
  <c r="AZ128" i="2" s="1"/>
  <c r="AU128" i="2"/>
  <c r="AT128" i="2"/>
  <c r="AR128" i="2"/>
  <c r="AF128" i="2"/>
  <c r="AE128" i="2"/>
  <c r="U128" i="2"/>
  <c r="S128" i="2"/>
  <c r="Y128" i="2" s="1"/>
  <c r="N128" i="2"/>
  <c r="M128" i="2"/>
  <c r="L128" i="2" s="1"/>
  <c r="I128" i="2"/>
  <c r="H128" i="2" s="1"/>
  <c r="BA127" i="2"/>
  <c r="AY127" i="2"/>
  <c r="AX127" i="2"/>
  <c r="AU127" i="2"/>
  <c r="AT127" i="2"/>
  <c r="AR127" i="2"/>
  <c r="AS127" i="2" s="1"/>
  <c r="AF127" i="2"/>
  <c r="AE127" i="2"/>
  <c r="U127" i="2"/>
  <c r="S127" i="2"/>
  <c r="AM127" i="2" s="1"/>
  <c r="AV127" i="2" s="1"/>
  <c r="N127" i="2"/>
  <c r="M127" i="2"/>
  <c r="L127" i="2" s="1"/>
  <c r="I127" i="2"/>
  <c r="H127" i="2" s="1"/>
  <c r="AY126" i="2"/>
  <c r="BA126" i="2" s="1"/>
  <c r="AX126" i="2"/>
  <c r="AX125" i="2" s="1"/>
  <c r="AU126" i="2"/>
  <c r="AT126" i="2"/>
  <c r="AS126" i="2"/>
  <c r="AR126" i="2"/>
  <c r="AN126" i="2"/>
  <c r="AN125" i="2" s="1"/>
  <c r="AM126" i="2"/>
  <c r="AF126" i="2"/>
  <c r="AE126" i="2"/>
  <c r="Y126" i="2"/>
  <c r="V126" i="2"/>
  <c r="U126" i="2"/>
  <c r="T126" i="2"/>
  <c r="N126" i="2"/>
  <c r="M126" i="2"/>
  <c r="L126" i="2" s="1"/>
  <c r="I126" i="2"/>
  <c r="H126" i="2" s="1"/>
  <c r="AY125" i="2"/>
  <c r="AR125" i="2"/>
  <c r="AP125" i="2"/>
  <c r="AO125" i="2"/>
  <c r="AM125" i="2"/>
  <c r="AH125" i="2"/>
  <c r="AB125" i="2"/>
  <c r="AA125" i="2"/>
  <c r="X125" i="2"/>
  <c r="W125" i="2"/>
  <c r="Q125" i="2"/>
  <c r="P125" i="2"/>
  <c r="O125" i="2"/>
  <c r="N125" i="2"/>
  <c r="K125" i="2"/>
  <c r="J125" i="2"/>
  <c r="AY123" i="2"/>
  <c r="AX123" i="2"/>
  <c r="AZ123" i="2" s="1"/>
  <c r="AU123" i="2"/>
  <c r="BA123" i="2" s="1"/>
  <c r="AT123" i="2"/>
  <c r="AS123" i="2"/>
  <c r="AR123" i="2"/>
  <c r="AN123" i="2"/>
  <c r="AM123" i="2"/>
  <c r="AV123" i="2" s="1"/>
  <c r="AQ123" i="2" s="1"/>
  <c r="AF123" i="2"/>
  <c r="AE123" i="2"/>
  <c r="Z123" i="2"/>
  <c r="Y123" i="2"/>
  <c r="U123" i="2"/>
  <c r="T123" i="2" s="1"/>
  <c r="O123" i="2"/>
  <c r="M123" i="2"/>
  <c r="L123" i="2"/>
  <c r="I123" i="2"/>
  <c r="H123" i="2"/>
  <c r="BA122" i="2"/>
  <c r="AY122" i="2"/>
  <c r="AX122" i="2"/>
  <c r="AV122" i="2"/>
  <c r="AT122" i="2"/>
  <c r="AR122" i="2"/>
  <c r="AQ122" i="2" s="1"/>
  <c r="AN122" i="2"/>
  <c r="AM122" i="2"/>
  <c r="AF122" i="2"/>
  <c r="AE122" i="2"/>
  <c r="Z122" i="2"/>
  <c r="Y122" i="2"/>
  <c r="U122" i="2"/>
  <c r="T122" i="2" s="1"/>
  <c r="O122" i="2"/>
  <c r="M122" i="2"/>
  <c r="L122" i="2"/>
  <c r="I122" i="2"/>
  <c r="H122" i="2"/>
  <c r="AZ121" i="2"/>
  <c r="AY121" i="2"/>
  <c r="AX121" i="2"/>
  <c r="AU121" i="2"/>
  <c r="AT121" i="2"/>
  <c r="AR121" i="2"/>
  <c r="AM121" i="2"/>
  <c r="AV121" i="2" s="1"/>
  <c r="AW121" i="2" s="1"/>
  <c r="AF121" i="2"/>
  <c r="AE121" i="2"/>
  <c r="Y121" i="2"/>
  <c r="T121" i="2" s="1"/>
  <c r="U121" i="2"/>
  <c r="O121" i="2"/>
  <c r="M121" i="2"/>
  <c r="L121" i="2" s="1"/>
  <c r="I121" i="2"/>
  <c r="H121" i="2" s="1"/>
  <c r="AY120" i="2"/>
  <c r="BA120" i="2" s="1"/>
  <c r="AX120" i="2"/>
  <c r="AU120" i="2"/>
  <c r="AT120" i="2"/>
  <c r="AZ120" i="2" s="1"/>
  <c r="AR120" i="2"/>
  <c r="AM120" i="2"/>
  <c r="AV120" i="2" s="1"/>
  <c r="AF120" i="2"/>
  <c r="AE120" i="2"/>
  <c r="Y120" i="2"/>
  <c r="U120" i="2"/>
  <c r="O120" i="2"/>
  <c r="M120" i="2"/>
  <c r="L120" i="2" s="1"/>
  <c r="I120" i="2"/>
  <c r="H120" i="2" s="1"/>
  <c r="AY119" i="2"/>
  <c r="BA119" i="2" s="1"/>
  <c r="AX119" i="2"/>
  <c r="AU119" i="2"/>
  <c r="AT119" i="2"/>
  <c r="AZ119" i="2" s="1"/>
  <c r="AS119" i="2"/>
  <c r="AR119" i="2"/>
  <c r="AN119" i="2"/>
  <c r="AF119" i="2"/>
  <c r="AE119" i="2"/>
  <c r="Y119" i="2"/>
  <c r="T119" i="2" s="1"/>
  <c r="U119" i="2"/>
  <c r="S119" i="2"/>
  <c r="O119" i="2"/>
  <c r="O116" i="2" s="1"/>
  <c r="M119" i="2"/>
  <c r="L119" i="2"/>
  <c r="I119" i="2"/>
  <c r="H119" i="2" s="1"/>
  <c r="BA118" i="2"/>
  <c r="AZ118" i="2" s="1"/>
  <c r="AY118" i="2"/>
  <c r="AX118" i="2"/>
  <c r="AU118" i="2"/>
  <c r="AT118" i="2"/>
  <c r="AS118" i="2"/>
  <c r="AR118" i="2"/>
  <c r="AM118" i="2"/>
  <c r="AF118" i="2"/>
  <c r="AE118" i="2"/>
  <c r="Y118" i="2"/>
  <c r="V118" i="2"/>
  <c r="U118" i="2"/>
  <c r="T118" i="2"/>
  <c r="O118" i="2"/>
  <c r="M118" i="2"/>
  <c r="L118" i="2" s="1"/>
  <c r="I118" i="2"/>
  <c r="H118" i="2" s="1"/>
  <c r="AY117" i="2"/>
  <c r="AX117" i="2"/>
  <c r="AU117" i="2"/>
  <c r="AT117" i="2"/>
  <c r="AZ117" i="2" s="1"/>
  <c r="AR117" i="2"/>
  <c r="AM117" i="2"/>
  <c r="AF117" i="2"/>
  <c r="AE117" i="2"/>
  <c r="Y117" i="2"/>
  <c r="U117" i="2"/>
  <c r="V117" i="2" s="1"/>
  <c r="O117" i="2"/>
  <c r="M117" i="2"/>
  <c r="L117" i="2"/>
  <c r="L116" i="2" s="1"/>
  <c r="I117" i="2"/>
  <c r="H117" i="2" s="1"/>
  <c r="AY116" i="2"/>
  <c r="AX116" i="2"/>
  <c r="AR116" i="2"/>
  <c r="AP116" i="2"/>
  <c r="AO116" i="2"/>
  <c r="AN116" i="2"/>
  <c r="AM116" i="2"/>
  <c r="AH116" i="2"/>
  <c r="AE116" i="2"/>
  <c r="AB116" i="2"/>
  <c r="AA116" i="2"/>
  <c r="X116" i="2"/>
  <c r="W116" i="2"/>
  <c r="Q116" i="2"/>
  <c r="P116" i="2"/>
  <c r="N116" i="2"/>
  <c r="M116" i="2"/>
  <c r="K116" i="2"/>
  <c r="J116" i="2"/>
  <c r="I116" i="2"/>
  <c r="H116" i="2" s="1"/>
  <c r="F116" i="2"/>
  <c r="E116" i="2"/>
  <c r="D116" i="2"/>
  <c r="C116" i="2"/>
  <c r="AN115" i="2"/>
  <c r="AY114" i="2"/>
  <c r="AX114" i="2"/>
  <c r="AU114" i="2"/>
  <c r="AT114" i="2"/>
  <c r="AR114" i="2"/>
  <c r="AN114" i="2"/>
  <c r="AM114" i="2"/>
  <c r="AF114" i="2"/>
  <c r="AE114" i="2"/>
  <c r="Y114" i="2"/>
  <c r="U114" i="2"/>
  <c r="T114" i="2" s="1"/>
  <c r="O114" i="2"/>
  <c r="M114" i="2"/>
  <c r="L114" i="2"/>
  <c r="I114" i="2"/>
  <c r="H114" i="2" s="1"/>
  <c r="AY113" i="2"/>
  <c r="AX113" i="2"/>
  <c r="AU113" i="2"/>
  <c r="AT113" i="2"/>
  <c r="AR113" i="2"/>
  <c r="AM113" i="2"/>
  <c r="AF113" i="2"/>
  <c r="AE113" i="2"/>
  <c r="Y113" i="2"/>
  <c r="U113" i="2"/>
  <c r="T113" i="2" s="1"/>
  <c r="O113" i="2"/>
  <c r="M113" i="2"/>
  <c r="L113" i="2"/>
  <c r="I113" i="2"/>
  <c r="H113" i="2" s="1"/>
  <c r="AY112" i="2"/>
  <c r="AX112" i="2"/>
  <c r="AU112" i="2"/>
  <c r="AT112" i="2"/>
  <c r="AR112" i="2"/>
  <c r="AM112" i="2"/>
  <c r="AF112" i="2"/>
  <c r="AE112" i="2"/>
  <c r="Y112" i="2"/>
  <c r="U112" i="2"/>
  <c r="T112" i="2"/>
  <c r="O112" i="2"/>
  <c r="M112" i="2"/>
  <c r="L112" i="2"/>
  <c r="I112" i="2"/>
  <c r="H112" i="2" s="1"/>
  <c r="AY111" i="2"/>
  <c r="AX111" i="2"/>
  <c r="AT111" i="2"/>
  <c r="AS111" i="2" s="1"/>
  <c r="AR111" i="2"/>
  <c r="AN111" i="2"/>
  <c r="AM111" i="2"/>
  <c r="AF111" i="2"/>
  <c r="AE111" i="2"/>
  <c r="Y111" i="2"/>
  <c r="U111" i="2"/>
  <c r="T111" i="2" s="1"/>
  <c r="O111" i="2"/>
  <c r="M111" i="2"/>
  <c r="L111" i="2"/>
  <c r="I111" i="2"/>
  <c r="H111" i="2" s="1"/>
  <c r="AY110" i="2"/>
  <c r="AX110" i="2"/>
  <c r="AT110" i="2"/>
  <c r="AS110" i="2" s="1"/>
  <c r="AR110" i="2"/>
  <c r="AN110" i="2"/>
  <c r="AM110" i="2"/>
  <c r="AF110" i="2"/>
  <c r="AE110" i="2"/>
  <c r="Y110" i="2"/>
  <c r="U110" i="2"/>
  <c r="U107" i="2" s="1"/>
  <c r="O110" i="2"/>
  <c r="M110" i="2"/>
  <c r="L110" i="2"/>
  <c r="I110" i="2"/>
  <c r="H110" i="2" s="1"/>
  <c r="AY109" i="2"/>
  <c r="AX109" i="2"/>
  <c r="AW109" i="2" s="1"/>
  <c r="AV109" i="2"/>
  <c r="AT109" i="2"/>
  <c r="AR109" i="2"/>
  <c r="AS109" i="2" s="1"/>
  <c r="AN109" i="2"/>
  <c r="AI109" i="2"/>
  <c r="AF109" i="2"/>
  <c r="AE109" i="2"/>
  <c r="Y109" i="2"/>
  <c r="V109" i="2" s="1"/>
  <c r="U109" i="2"/>
  <c r="T109" i="2" s="1"/>
  <c r="O109" i="2"/>
  <c r="M109" i="2"/>
  <c r="L109" i="2" s="1"/>
  <c r="I109" i="2"/>
  <c r="H109" i="2" s="1"/>
  <c r="AY108" i="2"/>
  <c r="AX108" i="2"/>
  <c r="AT108" i="2"/>
  <c r="AS108" i="2" s="1"/>
  <c r="AR108" i="2"/>
  <c r="AN108" i="2"/>
  <c r="AM108" i="2"/>
  <c r="AF108" i="2"/>
  <c r="AE108" i="2"/>
  <c r="AE107" i="2" s="1"/>
  <c r="Y108" i="2"/>
  <c r="V108" i="2" s="1"/>
  <c r="U108" i="2"/>
  <c r="T108" i="2"/>
  <c r="O108" i="2"/>
  <c r="O107" i="2" s="1"/>
  <c r="M108" i="2"/>
  <c r="L108" i="2" s="1"/>
  <c r="I108" i="2"/>
  <c r="H108" i="2" s="1"/>
  <c r="AY107" i="2"/>
  <c r="AX107" i="2"/>
  <c r="AU107" i="2"/>
  <c r="AP107" i="2"/>
  <c r="AO107" i="2"/>
  <c r="AN107" i="2"/>
  <c r="AM107" i="2"/>
  <c r="AF107" i="2"/>
  <c r="AB107" i="2"/>
  <c r="AA107" i="2"/>
  <c r="X107" i="2"/>
  <c r="W107" i="2"/>
  <c r="Q107" i="2"/>
  <c r="P107" i="2"/>
  <c r="N107" i="2"/>
  <c r="K107" i="2"/>
  <c r="J107" i="2"/>
  <c r="F107" i="2"/>
  <c r="E107" i="2"/>
  <c r="D107" i="2"/>
  <c r="C107" i="2"/>
  <c r="AY105" i="2"/>
  <c r="AX105" i="2"/>
  <c r="AU105" i="2"/>
  <c r="AT105" i="2"/>
  <c r="AR105" i="2"/>
  <c r="AS105" i="2" s="1"/>
  <c r="AM105" i="2"/>
  <c r="AF105" i="2"/>
  <c r="AE105" i="2"/>
  <c r="V105" i="2"/>
  <c r="U105" i="2"/>
  <c r="S105" i="2"/>
  <c r="O105" i="2"/>
  <c r="M105" i="2"/>
  <c r="L105" i="2" s="1"/>
  <c r="I105" i="2"/>
  <c r="H105" i="2" s="1"/>
  <c r="AZ104" i="2"/>
  <c r="AY104" i="2"/>
  <c r="AX104" i="2"/>
  <c r="AV104" i="2"/>
  <c r="AW104" i="2" s="1"/>
  <c r="AU104" i="2"/>
  <c r="AT104" i="2"/>
  <c r="AR104" i="2"/>
  <c r="AQ104" i="2"/>
  <c r="AM104" i="2"/>
  <c r="AF104" i="2"/>
  <c r="AE104" i="2"/>
  <c r="Y104" i="2"/>
  <c r="U104" i="2"/>
  <c r="T104" i="2" s="1"/>
  <c r="O104" i="2"/>
  <c r="M104" i="2"/>
  <c r="L104" i="2" s="1"/>
  <c r="I104" i="2"/>
  <c r="H104" i="2" s="1"/>
  <c r="AZ103" i="2"/>
  <c r="AY103" i="2"/>
  <c r="AX103" i="2"/>
  <c r="AW103" i="2"/>
  <c r="AV103" i="2"/>
  <c r="AU103" i="2"/>
  <c r="AT103" i="2"/>
  <c r="AR103" i="2"/>
  <c r="AQ103" i="2" s="1"/>
  <c r="AM103" i="2"/>
  <c r="AF103" i="2"/>
  <c r="AE103" i="2"/>
  <c r="Y103" i="2"/>
  <c r="V103" i="2"/>
  <c r="U103" i="2"/>
  <c r="T103" i="2" s="1"/>
  <c r="O103" i="2"/>
  <c r="M103" i="2"/>
  <c r="L103" i="2"/>
  <c r="I103" i="2"/>
  <c r="H103" i="2" s="1"/>
  <c r="AY102" i="2"/>
  <c r="AX102" i="2"/>
  <c r="AZ102" i="2" s="1"/>
  <c r="AU102" i="2"/>
  <c r="AT102" i="2"/>
  <c r="AS102" i="2" s="1"/>
  <c r="AR102" i="2"/>
  <c r="AQ102" i="2" s="1"/>
  <c r="AM102" i="2"/>
  <c r="AV102" i="2" s="1"/>
  <c r="AW102" i="2" s="1"/>
  <c r="AF102" i="2"/>
  <c r="AE102" i="2"/>
  <c r="Y102" i="2"/>
  <c r="U102" i="2"/>
  <c r="V102" i="2" s="1"/>
  <c r="O102" i="2"/>
  <c r="M102" i="2"/>
  <c r="L102" i="2" s="1"/>
  <c r="I102" i="2"/>
  <c r="H102" i="2" s="1"/>
  <c r="AZ101" i="2"/>
  <c r="AY101" i="2"/>
  <c r="AX101" i="2"/>
  <c r="AU101" i="2"/>
  <c r="AT101" i="2"/>
  <c r="AR101" i="2"/>
  <c r="AF101" i="2"/>
  <c r="AE101" i="2"/>
  <c r="U101" i="2"/>
  <c r="V101" i="2" s="1"/>
  <c r="S101" i="2"/>
  <c r="Y101" i="2" s="1"/>
  <c r="Z101" i="2" s="1"/>
  <c r="AD101" i="2" s="1"/>
  <c r="O101" i="2"/>
  <c r="M101" i="2"/>
  <c r="M98" i="2" s="1"/>
  <c r="I101" i="2"/>
  <c r="H101" i="2" s="1"/>
  <c r="BA100" i="2"/>
  <c r="AY100" i="2"/>
  <c r="AX100" i="2"/>
  <c r="AW100" i="2" s="1"/>
  <c r="AV100" i="2"/>
  <c r="AU100" i="2"/>
  <c r="AT100" i="2"/>
  <c r="AR100" i="2"/>
  <c r="AQ100" i="2" s="1"/>
  <c r="AM100" i="2"/>
  <c r="AF100" i="2"/>
  <c r="AE100" i="2"/>
  <c r="Y100" i="2"/>
  <c r="Z100" i="2" s="1"/>
  <c r="V100" i="2"/>
  <c r="U100" i="2"/>
  <c r="T100" i="2" s="1"/>
  <c r="O100" i="2"/>
  <c r="M100" i="2"/>
  <c r="L100" i="2" s="1"/>
  <c r="K100" i="2"/>
  <c r="I100" i="2" s="1"/>
  <c r="H100" i="2" s="1"/>
  <c r="AY99" i="2"/>
  <c r="BA99" i="2" s="1"/>
  <c r="AX99" i="2"/>
  <c r="AU99" i="2"/>
  <c r="AT99" i="2"/>
  <c r="AS99" i="2"/>
  <c r="AR99" i="2"/>
  <c r="AM99" i="2"/>
  <c r="AF99" i="2"/>
  <c r="AE99" i="2"/>
  <c r="Y99" i="2"/>
  <c r="V99" i="2" s="1"/>
  <c r="U99" i="2"/>
  <c r="O99" i="2"/>
  <c r="O98" i="2" s="1"/>
  <c r="M99" i="2"/>
  <c r="L99" i="2" s="1"/>
  <c r="K99" i="2"/>
  <c r="I99" i="2" s="1"/>
  <c r="H99" i="2" s="1"/>
  <c r="AX98" i="2"/>
  <c r="AR98" i="2"/>
  <c r="AP98" i="2"/>
  <c r="AO98" i="2"/>
  <c r="AN98" i="2"/>
  <c r="AM98" i="2"/>
  <c r="AE98" i="2"/>
  <c r="AB98" i="2"/>
  <c r="AA98" i="2"/>
  <c r="X98" i="2"/>
  <c r="W98" i="2"/>
  <c r="Q98" i="2"/>
  <c r="P98" i="2"/>
  <c r="N98" i="2"/>
  <c r="J98" i="2"/>
  <c r="I98" i="2"/>
  <c r="F98" i="2"/>
  <c r="E98" i="2"/>
  <c r="D98" i="2"/>
  <c r="C98" i="2"/>
  <c r="AY96" i="2"/>
  <c r="AX96" i="2"/>
  <c r="AU96" i="2"/>
  <c r="AT96" i="2"/>
  <c r="AS96" i="2"/>
  <c r="AR96" i="2"/>
  <c r="AF96" i="2"/>
  <c r="AE96" i="2"/>
  <c r="V96" i="2"/>
  <c r="U96" i="2"/>
  <c r="S96" i="2"/>
  <c r="AM96" i="2" s="1"/>
  <c r="N96" i="2"/>
  <c r="M96" i="2"/>
  <c r="L96" i="2" s="1"/>
  <c r="I96" i="2"/>
  <c r="H96" i="2" s="1"/>
  <c r="AY95" i="2"/>
  <c r="AX95" i="2"/>
  <c r="AU95" i="2"/>
  <c r="AT95" i="2"/>
  <c r="AR95" i="2"/>
  <c r="AM95" i="2"/>
  <c r="AF95" i="2"/>
  <c r="AE95" i="2"/>
  <c r="Y95" i="2"/>
  <c r="V95" i="2"/>
  <c r="U95" i="2"/>
  <c r="N95" i="2"/>
  <c r="M95" i="2"/>
  <c r="L95" i="2" s="1"/>
  <c r="I95" i="2"/>
  <c r="H95" i="2" s="1"/>
  <c r="AZ94" i="2"/>
  <c r="AY94" i="2"/>
  <c r="AX94" i="2"/>
  <c r="AV94" i="2"/>
  <c r="AW94" i="2" s="1"/>
  <c r="AU94" i="2"/>
  <c r="AT94" i="2"/>
  <c r="AR94" i="2"/>
  <c r="AQ94" i="2"/>
  <c r="AM94" i="2"/>
  <c r="AF94" i="2"/>
  <c r="AE94" i="2"/>
  <c r="Y94" i="2"/>
  <c r="U94" i="2"/>
  <c r="T94" i="2" s="1"/>
  <c r="N94" i="2"/>
  <c r="M94" i="2"/>
  <c r="L94" i="2" s="1"/>
  <c r="I94" i="2"/>
  <c r="H94" i="2" s="1"/>
  <c r="AY93" i="2"/>
  <c r="AX93" i="2"/>
  <c r="AZ93" i="2" s="1"/>
  <c r="AU93" i="2"/>
  <c r="AT93" i="2"/>
  <c r="AR93" i="2"/>
  <c r="AQ93" i="2" s="1"/>
  <c r="AM93" i="2"/>
  <c r="AV93" i="2" s="1"/>
  <c r="AW93" i="2" s="1"/>
  <c r="AF93" i="2"/>
  <c r="AE93" i="2"/>
  <c r="Y93" i="2"/>
  <c r="V93" i="2"/>
  <c r="U93" i="2"/>
  <c r="T93" i="2" s="1"/>
  <c r="N93" i="2"/>
  <c r="M93" i="2"/>
  <c r="L93" i="2"/>
  <c r="I93" i="2"/>
  <c r="H93" i="2" s="1"/>
  <c r="AY92" i="2"/>
  <c r="AX92" i="2"/>
  <c r="AX89" i="2" s="1"/>
  <c r="AU92" i="2"/>
  <c r="AT92" i="2"/>
  <c r="AR92" i="2"/>
  <c r="AF92" i="2"/>
  <c r="AE92" i="2"/>
  <c r="V92" i="2"/>
  <c r="U92" i="2"/>
  <c r="S92" i="2"/>
  <c r="AM92" i="2" s="1"/>
  <c r="N92" i="2"/>
  <c r="M92" i="2"/>
  <c r="L92" i="2" s="1"/>
  <c r="I92" i="2"/>
  <c r="H92" i="2" s="1"/>
  <c r="BA91" i="2"/>
  <c r="AZ91" i="2"/>
  <c r="AY91" i="2"/>
  <c r="AX91" i="2"/>
  <c r="AV91" i="2"/>
  <c r="AU91" i="2"/>
  <c r="AT91" i="2"/>
  <c r="AR91" i="2"/>
  <c r="AQ91" i="2"/>
  <c r="AM91" i="2"/>
  <c r="AF91" i="2"/>
  <c r="AE91" i="2"/>
  <c r="U91" i="2"/>
  <c r="V91" i="2" s="1"/>
  <c r="S91" i="2"/>
  <c r="N91" i="2"/>
  <c r="M91" i="2"/>
  <c r="L91" i="2" s="1"/>
  <c r="I91" i="2"/>
  <c r="H91" i="2" s="1"/>
  <c r="AY90" i="2"/>
  <c r="AX90" i="2"/>
  <c r="AU90" i="2"/>
  <c r="BA90" i="2" s="1"/>
  <c r="AT90" i="2"/>
  <c r="AR90" i="2"/>
  <c r="AS90" i="2" s="1"/>
  <c r="AM90" i="2"/>
  <c r="AF90" i="2"/>
  <c r="AE90" i="2"/>
  <c r="Y90" i="2"/>
  <c r="V90" i="2" s="1"/>
  <c r="U90" i="2"/>
  <c r="T90" i="2" s="1"/>
  <c r="N90" i="2"/>
  <c r="M90" i="2"/>
  <c r="L90" i="2" s="1"/>
  <c r="I90" i="2"/>
  <c r="H90" i="2" s="1"/>
  <c r="AY89" i="2"/>
  <c r="AU89" i="2"/>
  <c r="AT89" i="2" s="1"/>
  <c r="AP89" i="2"/>
  <c r="AO89" i="2"/>
  <c r="AN89" i="2"/>
  <c r="AM89" i="2"/>
  <c r="AB89" i="2"/>
  <c r="AA89" i="2"/>
  <c r="X89" i="2"/>
  <c r="W89" i="2"/>
  <c r="Q89" i="2"/>
  <c r="P89" i="2"/>
  <c r="O89" i="2"/>
  <c r="N89" i="2"/>
  <c r="M89" i="2"/>
  <c r="K89" i="2"/>
  <c r="J89" i="2"/>
  <c r="I89" i="2" s="1"/>
  <c r="F89" i="2"/>
  <c r="E89" i="2"/>
  <c r="D89" i="2"/>
  <c r="C89" i="2"/>
  <c r="BA87" i="2"/>
  <c r="AZ87" i="2" s="1"/>
  <c r="AY87" i="2"/>
  <c r="AX87" i="2"/>
  <c r="AT87" i="2"/>
  <c r="AR87" i="2"/>
  <c r="AN87" i="2"/>
  <c r="AM87" i="2"/>
  <c r="AE87" i="2"/>
  <c r="Y87" i="2"/>
  <c r="Z87" i="2" s="1"/>
  <c r="X87" i="2"/>
  <c r="AF87" i="2" s="1"/>
  <c r="U87" i="2"/>
  <c r="T87" i="2" s="1"/>
  <c r="O87" i="2"/>
  <c r="M87" i="2"/>
  <c r="L87" i="2"/>
  <c r="I87" i="2"/>
  <c r="H87" i="2"/>
  <c r="AZ86" i="2"/>
  <c r="AY86" i="2"/>
  <c r="BA86" i="2" s="1"/>
  <c r="AX86" i="2"/>
  <c r="AU86" i="2"/>
  <c r="AT86" i="2"/>
  <c r="AR86" i="2"/>
  <c r="AQ86" i="2" s="1"/>
  <c r="AM86" i="2"/>
  <c r="AV86" i="2" s="1"/>
  <c r="AF86" i="2"/>
  <c r="AE86" i="2"/>
  <c r="Y86" i="2"/>
  <c r="V86" i="2" s="1"/>
  <c r="U86" i="2"/>
  <c r="T86" i="2"/>
  <c r="O86" i="2"/>
  <c r="M86" i="2"/>
  <c r="L86" i="2" s="1"/>
  <c r="I86" i="2"/>
  <c r="H86" i="2" s="1"/>
  <c r="AY85" i="2"/>
  <c r="BA85" i="2" s="1"/>
  <c r="AX85" i="2"/>
  <c r="AV85" i="2"/>
  <c r="AU85" i="2"/>
  <c r="AT85" i="2"/>
  <c r="AT80" i="2" s="1"/>
  <c r="AR85" i="2"/>
  <c r="AQ85" i="2" s="1"/>
  <c r="AM85" i="2"/>
  <c r="AF85" i="2"/>
  <c r="AE85" i="2"/>
  <c r="Y85" i="2"/>
  <c r="V85" i="2" s="1"/>
  <c r="U85" i="2"/>
  <c r="T85" i="2"/>
  <c r="O85" i="2"/>
  <c r="M85" i="2"/>
  <c r="L85" i="2" s="1"/>
  <c r="I85" i="2"/>
  <c r="H85" i="2" s="1"/>
  <c r="AY84" i="2"/>
  <c r="AY80" i="2" s="1"/>
  <c r="AX84" i="2"/>
  <c r="AV84" i="2"/>
  <c r="AT84" i="2"/>
  <c r="AR84" i="2"/>
  <c r="AQ84" i="2" s="1"/>
  <c r="AN84" i="2"/>
  <c r="AM84" i="2"/>
  <c r="AE84" i="2"/>
  <c r="Y84" i="2"/>
  <c r="X84" i="2"/>
  <c r="U84" i="2"/>
  <c r="T84" i="2" s="1"/>
  <c r="O84" i="2"/>
  <c r="O80" i="2" s="1"/>
  <c r="M84" i="2"/>
  <c r="L84" i="2"/>
  <c r="I84" i="2"/>
  <c r="H84" i="2"/>
  <c r="AY83" i="2"/>
  <c r="AX83" i="2"/>
  <c r="AZ83" i="2" s="1"/>
  <c r="AT83" i="2"/>
  <c r="AR83" i="2"/>
  <c r="AM83" i="2"/>
  <c r="AE83" i="2"/>
  <c r="Y83" i="2"/>
  <c r="X83" i="2"/>
  <c r="AF83" i="2" s="1"/>
  <c r="U83" i="2"/>
  <c r="T83" i="2" s="1"/>
  <c r="O83" i="2"/>
  <c r="M83" i="2"/>
  <c r="L83" i="2" s="1"/>
  <c r="I83" i="2"/>
  <c r="H83" i="2" s="1"/>
  <c r="AY82" i="2"/>
  <c r="AX82" i="2"/>
  <c r="AT82" i="2"/>
  <c r="AS82" i="2"/>
  <c r="AR82" i="2"/>
  <c r="AN82" i="2"/>
  <c r="AM82" i="2"/>
  <c r="AF82" i="2"/>
  <c r="AE82" i="2"/>
  <c r="Y82" i="2"/>
  <c r="Y80" i="2" s="1"/>
  <c r="X82" i="2"/>
  <c r="U82" i="2"/>
  <c r="U80" i="2" s="1"/>
  <c r="O82" i="2"/>
  <c r="M82" i="2"/>
  <c r="L82" i="2"/>
  <c r="I82" i="2"/>
  <c r="H82" i="2" s="1"/>
  <c r="BA81" i="2"/>
  <c r="AZ81" i="2" s="1"/>
  <c r="AY81" i="2"/>
  <c r="AX81" i="2"/>
  <c r="AT81" i="2"/>
  <c r="AS81" i="2"/>
  <c r="AR81" i="2"/>
  <c r="AM81" i="2"/>
  <c r="AE81" i="2"/>
  <c r="Z81" i="2"/>
  <c r="AD81" i="2" s="1"/>
  <c r="Y81" i="2"/>
  <c r="X81" i="2"/>
  <c r="V81" i="2" s="1"/>
  <c r="U81" i="2"/>
  <c r="T81" i="2"/>
  <c r="O81" i="2"/>
  <c r="M81" i="2"/>
  <c r="L81" i="2" s="1"/>
  <c r="I81" i="2"/>
  <c r="H81" i="2" s="1"/>
  <c r="AX80" i="2"/>
  <c r="AU80" i="2"/>
  <c r="AP80" i="2"/>
  <c r="AO80" i="2"/>
  <c r="AN80" i="2"/>
  <c r="AM80" i="2"/>
  <c r="AB80" i="2"/>
  <c r="AA80" i="2"/>
  <c r="X80" i="2"/>
  <c r="W80" i="2"/>
  <c r="Q80" i="2"/>
  <c r="P80" i="2"/>
  <c r="N80" i="2"/>
  <c r="M80" i="2"/>
  <c r="K80" i="2"/>
  <c r="J80" i="2"/>
  <c r="F80" i="2"/>
  <c r="E80" i="2"/>
  <c r="D80" i="2"/>
  <c r="C80" i="2"/>
  <c r="AY78" i="2"/>
  <c r="AX78" i="2"/>
  <c r="AW78" i="2" s="1"/>
  <c r="AV78" i="2"/>
  <c r="AU78" i="2"/>
  <c r="AS78" i="2" s="1"/>
  <c r="AT78" i="2"/>
  <c r="AR78" i="2"/>
  <c r="AQ78" i="2" s="1"/>
  <c r="AN78" i="2"/>
  <c r="AN71" i="2" s="1"/>
  <c r="AF78" i="2"/>
  <c r="AE78" i="2"/>
  <c r="Y78" i="2"/>
  <c r="V78" i="2" s="1"/>
  <c r="U78" i="2"/>
  <c r="T78" i="2"/>
  <c r="O78" i="2"/>
  <c r="M78" i="2"/>
  <c r="L78" i="2" s="1"/>
  <c r="I78" i="2"/>
  <c r="H78" i="2" s="1"/>
  <c r="AY77" i="2"/>
  <c r="BA77" i="2" s="1"/>
  <c r="AZ77" i="2" s="1"/>
  <c r="AX77" i="2"/>
  <c r="AU77" i="2"/>
  <c r="AT77" i="2"/>
  <c r="AR77" i="2"/>
  <c r="AS77" i="2" s="1"/>
  <c r="AM77" i="2"/>
  <c r="AF77" i="2"/>
  <c r="AE77" i="2"/>
  <c r="Y77" i="2"/>
  <c r="U77" i="2"/>
  <c r="T77" i="2" s="1"/>
  <c r="O77" i="2"/>
  <c r="M77" i="2"/>
  <c r="L77" i="2"/>
  <c r="I77" i="2"/>
  <c r="H77" i="2" s="1"/>
  <c r="AY76" i="2"/>
  <c r="AY71" i="2" s="1"/>
  <c r="AX76" i="2"/>
  <c r="AZ76" i="2" s="1"/>
  <c r="AU76" i="2"/>
  <c r="AU71" i="2" s="1"/>
  <c r="AT76" i="2"/>
  <c r="AR76" i="2"/>
  <c r="AM76" i="2"/>
  <c r="AV76" i="2" s="1"/>
  <c r="AF76" i="2"/>
  <c r="AE76" i="2"/>
  <c r="Y76" i="2"/>
  <c r="U76" i="2"/>
  <c r="T76" i="2" s="1"/>
  <c r="O76" i="2"/>
  <c r="M76" i="2"/>
  <c r="L76" i="2"/>
  <c r="I76" i="2"/>
  <c r="H76" i="2" s="1"/>
  <c r="AY75" i="2"/>
  <c r="AX75" i="2"/>
  <c r="AW75" i="2" s="1"/>
  <c r="AV75" i="2"/>
  <c r="AT75" i="2"/>
  <c r="AR75" i="2"/>
  <c r="AS75" i="2" s="1"/>
  <c r="AN75" i="2"/>
  <c r="AF75" i="2"/>
  <c r="AE75" i="2"/>
  <c r="V75" i="2"/>
  <c r="U75" i="2"/>
  <c r="S75" i="2"/>
  <c r="O75" i="2"/>
  <c r="M75" i="2"/>
  <c r="L75" i="2"/>
  <c r="I75" i="2"/>
  <c r="H75" i="2" s="1"/>
  <c r="AZ74" i="2"/>
  <c r="AY74" i="2"/>
  <c r="AX74" i="2"/>
  <c r="AV74" i="2"/>
  <c r="AW74" i="2" s="1"/>
  <c r="AU74" i="2"/>
  <c r="AT74" i="2"/>
  <c r="AS74" i="2" s="1"/>
  <c r="AR74" i="2"/>
  <c r="AQ74" i="2"/>
  <c r="AN74" i="2"/>
  <c r="AF74" i="2"/>
  <c r="AE74" i="2"/>
  <c r="Y74" i="2"/>
  <c r="Z74" i="2" s="1"/>
  <c r="V74" i="2"/>
  <c r="U74" i="2"/>
  <c r="T74" i="2"/>
  <c r="O74" i="2"/>
  <c r="M74" i="2"/>
  <c r="L74" i="2" s="1"/>
  <c r="I74" i="2"/>
  <c r="H74" i="2" s="1"/>
  <c r="AY73" i="2"/>
  <c r="AX73" i="2"/>
  <c r="AT73" i="2"/>
  <c r="AS73" i="2"/>
  <c r="AR73" i="2"/>
  <c r="AN73" i="2"/>
  <c r="AF73" i="2"/>
  <c r="AE73" i="2"/>
  <c r="V73" i="2"/>
  <c r="U73" i="2"/>
  <c r="S73" i="2"/>
  <c r="AM73" i="2" s="1"/>
  <c r="O73" i="2"/>
  <c r="M73" i="2"/>
  <c r="L73" i="2"/>
  <c r="I73" i="2"/>
  <c r="H73" i="2" s="1"/>
  <c r="AY72" i="2"/>
  <c r="AX72" i="2"/>
  <c r="AU72" i="2"/>
  <c r="AT72" i="2"/>
  <c r="AR72" i="2"/>
  <c r="AM72" i="2"/>
  <c r="AV72" i="2" s="1"/>
  <c r="AW72" i="2" s="1"/>
  <c r="AF72" i="2"/>
  <c r="AE72" i="2"/>
  <c r="Y72" i="2"/>
  <c r="U72" i="2"/>
  <c r="T72" i="2" s="1"/>
  <c r="O72" i="2"/>
  <c r="M72" i="2"/>
  <c r="L72" i="2" s="1"/>
  <c r="L71" i="2" s="1"/>
  <c r="I72" i="2"/>
  <c r="H72" i="2" s="1"/>
  <c r="AP71" i="2"/>
  <c r="AO71" i="2"/>
  <c r="AE71" i="2"/>
  <c r="AB71" i="2"/>
  <c r="AA71" i="2"/>
  <c r="X71" i="2"/>
  <c r="W71" i="2"/>
  <c r="U71" i="2"/>
  <c r="Q71" i="2"/>
  <c r="P71" i="2"/>
  <c r="N71" i="2"/>
  <c r="K71" i="2"/>
  <c r="J71" i="2"/>
  <c r="I71" i="2"/>
  <c r="H71" i="2"/>
  <c r="F71" i="2"/>
  <c r="E71" i="2"/>
  <c r="D71" i="2"/>
  <c r="C71" i="2"/>
  <c r="AN70" i="2"/>
  <c r="AZ69" i="2"/>
  <c r="AY69" i="2"/>
  <c r="AX69" i="2"/>
  <c r="AU69" i="2"/>
  <c r="AT69" i="2"/>
  <c r="AR69" i="2"/>
  <c r="AF69" i="2"/>
  <c r="AE69" i="2"/>
  <c r="Z69" i="2"/>
  <c r="U69" i="2"/>
  <c r="V69" i="2" s="1"/>
  <c r="T69" i="2"/>
  <c r="S69" i="2"/>
  <c r="Y69" i="2" s="1"/>
  <c r="O69" i="2"/>
  <c r="M69" i="2"/>
  <c r="L69" i="2"/>
  <c r="I69" i="2"/>
  <c r="H69" i="2" s="1"/>
  <c r="AZ68" i="2"/>
  <c r="AY68" i="2"/>
  <c r="AX68" i="2"/>
  <c r="AU68" i="2"/>
  <c r="AT68" i="2"/>
  <c r="AR68" i="2"/>
  <c r="AS68" i="2" s="1"/>
  <c r="AM68" i="2"/>
  <c r="AV68" i="2" s="1"/>
  <c r="AF68" i="2"/>
  <c r="AE68" i="2"/>
  <c r="Y68" i="2"/>
  <c r="Z68" i="2" s="1"/>
  <c r="U68" i="2"/>
  <c r="T68" i="2" s="1"/>
  <c r="O68" i="2"/>
  <c r="M68" i="2"/>
  <c r="L68" i="2"/>
  <c r="I68" i="2"/>
  <c r="H68" i="2" s="1"/>
  <c r="BA67" i="2"/>
  <c r="AY67" i="2"/>
  <c r="AX67" i="2"/>
  <c r="AZ67" i="2" s="1"/>
  <c r="AV67" i="2"/>
  <c r="AU67" i="2"/>
  <c r="AT67" i="2"/>
  <c r="AR67" i="2"/>
  <c r="AM67" i="2"/>
  <c r="AF67" i="2"/>
  <c r="AE67" i="2"/>
  <c r="Y67" i="2"/>
  <c r="Z67" i="2" s="1"/>
  <c r="U67" i="2"/>
  <c r="T67" i="2" s="1"/>
  <c r="O67" i="2"/>
  <c r="M67" i="2"/>
  <c r="L67" i="2"/>
  <c r="I67" i="2"/>
  <c r="H67" i="2" s="1"/>
  <c r="AY66" i="2"/>
  <c r="AX66" i="2"/>
  <c r="AU66" i="2"/>
  <c r="BA66" i="2" s="1"/>
  <c r="AT66" i="2"/>
  <c r="AZ66" i="2" s="1"/>
  <c r="AR66" i="2"/>
  <c r="AS66" i="2" s="1"/>
  <c r="AF66" i="2"/>
  <c r="AE66" i="2"/>
  <c r="U66" i="2"/>
  <c r="S66" i="2"/>
  <c r="AM66" i="2" s="1"/>
  <c r="O66" i="2"/>
  <c r="M66" i="2"/>
  <c r="L66" i="2" s="1"/>
  <c r="I66" i="2"/>
  <c r="H66" i="2" s="1"/>
  <c r="AY65" i="2"/>
  <c r="BA65" i="2" s="1"/>
  <c r="AZ65" i="2" s="1"/>
  <c r="AX65" i="2"/>
  <c r="AU65" i="2"/>
  <c r="AS65" i="2" s="1"/>
  <c r="AT65" i="2"/>
  <c r="AR65" i="2"/>
  <c r="AF65" i="2"/>
  <c r="AE65" i="2"/>
  <c r="U65" i="2"/>
  <c r="S65" i="2"/>
  <c r="AM65" i="2" s="1"/>
  <c r="O65" i="2"/>
  <c r="M65" i="2"/>
  <c r="L65" i="2" s="1"/>
  <c r="I65" i="2"/>
  <c r="H65" i="2" s="1"/>
  <c r="AZ64" i="2"/>
  <c r="AY64" i="2"/>
  <c r="AX64" i="2"/>
  <c r="AX62" i="2" s="1"/>
  <c r="AU64" i="2"/>
  <c r="AT64" i="2"/>
  <c r="AR64" i="2"/>
  <c r="AF64" i="2"/>
  <c r="AE64" i="2"/>
  <c r="Y64" i="2"/>
  <c r="S64" i="2"/>
  <c r="R64" i="2"/>
  <c r="U64" i="2" s="1"/>
  <c r="O64" i="2"/>
  <c r="M64" i="2"/>
  <c r="L64" i="2" s="1"/>
  <c r="I64" i="2"/>
  <c r="H64" i="2" s="1"/>
  <c r="AY63" i="2"/>
  <c r="BA63" i="2" s="1"/>
  <c r="AX63" i="2"/>
  <c r="AZ63" i="2" s="1"/>
  <c r="AU63" i="2"/>
  <c r="AT63" i="2"/>
  <c r="AT62" i="2" s="1"/>
  <c r="AR63" i="2"/>
  <c r="AN63" i="2"/>
  <c r="AM63" i="2"/>
  <c r="AV63" i="2" s="1"/>
  <c r="AF63" i="2"/>
  <c r="AE63" i="2"/>
  <c r="Z63" i="2"/>
  <c r="Y63" i="2"/>
  <c r="U63" i="2"/>
  <c r="T63" i="2" s="1"/>
  <c r="R63" i="2"/>
  <c r="O63" i="2"/>
  <c r="M63" i="2"/>
  <c r="L63" i="2" s="1"/>
  <c r="L62" i="2" s="1"/>
  <c r="I63" i="2"/>
  <c r="H63" i="2" s="1"/>
  <c r="AY62" i="2"/>
  <c r="AP62" i="2"/>
  <c r="AO62" i="2"/>
  <c r="AN62" i="2"/>
  <c r="AM62" i="2"/>
  <c r="AB62" i="2"/>
  <c r="AA62" i="2"/>
  <c r="X62" i="2"/>
  <c r="W62" i="2"/>
  <c r="Q62" i="2"/>
  <c r="P62" i="2"/>
  <c r="O62" i="2"/>
  <c r="N62" i="2"/>
  <c r="K62" i="2"/>
  <c r="J62" i="2"/>
  <c r="I62" i="2" s="1"/>
  <c r="F62" i="2"/>
  <c r="E62" i="2"/>
  <c r="D62" i="2"/>
  <c r="C62" i="2"/>
  <c r="AN61" i="2"/>
  <c r="AY60" i="2"/>
  <c r="AX60" i="2"/>
  <c r="AZ60" i="2" s="1"/>
  <c r="AU60" i="2"/>
  <c r="AT60" i="2"/>
  <c r="AR60" i="2"/>
  <c r="AM60" i="2"/>
  <c r="AF60" i="2"/>
  <c r="AE60" i="2"/>
  <c r="V60" i="2"/>
  <c r="U60" i="2"/>
  <c r="S60" i="2"/>
  <c r="O60" i="2"/>
  <c r="M60" i="2"/>
  <c r="L60" i="2"/>
  <c r="K60" i="2"/>
  <c r="I60" i="2" s="1"/>
  <c r="H60" i="2" s="1"/>
  <c r="BA59" i="2"/>
  <c r="AY59" i="2"/>
  <c r="AX59" i="2"/>
  <c r="AV59" i="2"/>
  <c r="AU59" i="2"/>
  <c r="AT59" i="2"/>
  <c r="AR59" i="2"/>
  <c r="AQ59" i="2" s="1"/>
  <c r="AM59" i="2"/>
  <c r="AF59" i="2"/>
  <c r="AE59" i="2"/>
  <c r="Y59" i="2"/>
  <c r="V59" i="2" s="1"/>
  <c r="U59" i="2"/>
  <c r="O59" i="2"/>
  <c r="M59" i="2"/>
  <c r="L59" i="2" s="1"/>
  <c r="I59" i="2"/>
  <c r="H59" i="2" s="1"/>
  <c r="BA58" i="2"/>
  <c r="AY58" i="2"/>
  <c r="AX58" i="2"/>
  <c r="AV58" i="2"/>
  <c r="AU58" i="2"/>
  <c r="AT58" i="2"/>
  <c r="AR58" i="2"/>
  <c r="AQ58" i="2" s="1"/>
  <c r="AM58" i="2"/>
  <c r="AF58" i="2"/>
  <c r="AE58" i="2"/>
  <c r="Z58" i="2"/>
  <c r="Y58" i="2"/>
  <c r="U58" i="2"/>
  <c r="T58" i="2" s="1"/>
  <c r="O58" i="2"/>
  <c r="M58" i="2"/>
  <c r="L58" i="2"/>
  <c r="I58" i="2"/>
  <c r="H58" i="2" s="1"/>
  <c r="AY57" i="2"/>
  <c r="BA57" i="2" s="1"/>
  <c r="AX57" i="2"/>
  <c r="AZ57" i="2" s="1"/>
  <c r="AU57" i="2"/>
  <c r="AT57" i="2"/>
  <c r="AS57" i="2"/>
  <c r="AR57" i="2"/>
  <c r="AM57" i="2"/>
  <c r="AV57" i="2" s="1"/>
  <c r="AQ57" i="2" s="1"/>
  <c r="AF57" i="2"/>
  <c r="AE57" i="2"/>
  <c r="Y57" i="2"/>
  <c r="V57" i="2" s="1"/>
  <c r="U57" i="2"/>
  <c r="T57" i="2"/>
  <c r="O57" i="2"/>
  <c r="M57" i="2"/>
  <c r="L57" i="2" s="1"/>
  <c r="I57" i="2"/>
  <c r="H57" i="2" s="1"/>
  <c r="AY56" i="2"/>
  <c r="BA56" i="2" s="1"/>
  <c r="AX56" i="2"/>
  <c r="AU56" i="2"/>
  <c r="AT56" i="2"/>
  <c r="AZ56" i="2" s="1"/>
  <c r="AR56" i="2"/>
  <c r="AS56" i="2" s="1"/>
  <c r="AM56" i="2"/>
  <c r="AV56" i="2" s="1"/>
  <c r="AF56" i="2"/>
  <c r="AE56" i="2"/>
  <c r="U56" i="2"/>
  <c r="S56" i="2"/>
  <c r="O56" i="2"/>
  <c r="M56" i="2"/>
  <c r="L56" i="2"/>
  <c r="I56" i="2"/>
  <c r="H56" i="2" s="1"/>
  <c r="AY55" i="2"/>
  <c r="AY53" i="2" s="1"/>
  <c r="AX55" i="2"/>
  <c r="AU55" i="2"/>
  <c r="AT55" i="2"/>
  <c r="AS55" i="2" s="1"/>
  <c r="AR55" i="2"/>
  <c r="AF55" i="2"/>
  <c r="AE55" i="2"/>
  <c r="V55" i="2"/>
  <c r="U55" i="2"/>
  <c r="S55" i="2"/>
  <c r="AM55" i="2" s="1"/>
  <c r="O55" i="2"/>
  <c r="M55" i="2"/>
  <c r="L55" i="2"/>
  <c r="I55" i="2"/>
  <c r="H55" i="2" s="1"/>
  <c r="AZ54" i="2"/>
  <c r="AY54" i="2"/>
  <c r="AX54" i="2"/>
  <c r="AV54" i="2"/>
  <c r="AW54" i="2" s="1"/>
  <c r="AU54" i="2"/>
  <c r="AT54" i="2"/>
  <c r="AS54" i="2" s="1"/>
  <c r="AR54" i="2"/>
  <c r="AQ54" i="2"/>
  <c r="AN54" i="2"/>
  <c r="AM54" i="2"/>
  <c r="AF54" i="2"/>
  <c r="AE54" i="2"/>
  <c r="Y54" i="2"/>
  <c r="V54" i="2" s="1"/>
  <c r="U54" i="2"/>
  <c r="O54" i="2"/>
  <c r="M54" i="2"/>
  <c r="L54" i="2" s="1"/>
  <c r="L53" i="2" s="1"/>
  <c r="K54" i="2"/>
  <c r="I54" i="2" s="1"/>
  <c r="H54" i="2" s="1"/>
  <c r="AX53" i="2"/>
  <c r="AU53" i="2"/>
  <c r="AR53" i="2"/>
  <c r="AP53" i="2"/>
  <c r="AO53" i="2"/>
  <c r="AM53" i="2"/>
  <c r="AV53" i="2" s="1"/>
  <c r="AF53" i="2"/>
  <c r="AE53" i="2" s="1"/>
  <c r="AB53" i="2"/>
  <c r="AA53" i="2"/>
  <c r="X53" i="2"/>
  <c r="W53" i="2"/>
  <c r="U53" i="2"/>
  <c r="Q53" i="2"/>
  <c r="P53" i="2"/>
  <c r="O53" i="2"/>
  <c r="N53" i="2"/>
  <c r="M53" i="2"/>
  <c r="J53" i="2"/>
  <c r="F53" i="2"/>
  <c r="E53" i="2"/>
  <c r="D53" i="2"/>
  <c r="C53" i="2"/>
  <c r="AY51" i="2"/>
  <c r="BA51" i="2" s="1"/>
  <c r="AZ51" i="2" s="1"/>
  <c r="AX51" i="2"/>
  <c r="AU51" i="2"/>
  <c r="AT51" i="2"/>
  <c r="AS51" i="2" s="1"/>
  <c r="AR51" i="2"/>
  <c r="AN51" i="2"/>
  <c r="AM51" i="2"/>
  <c r="AF51" i="2"/>
  <c r="AE51" i="2"/>
  <c r="Y51" i="2"/>
  <c r="V51" i="2" s="1"/>
  <c r="U51" i="2"/>
  <c r="T51" i="2"/>
  <c r="O51" i="2"/>
  <c r="M51" i="2"/>
  <c r="L51" i="2" s="1"/>
  <c r="I51" i="2"/>
  <c r="H51" i="2" s="1"/>
  <c r="AY50" i="2"/>
  <c r="BA50" i="2" s="1"/>
  <c r="AX50" i="2"/>
  <c r="AZ50" i="2" s="1"/>
  <c r="AV50" i="2"/>
  <c r="AW50" i="2" s="1"/>
  <c r="AU50" i="2"/>
  <c r="AT50" i="2"/>
  <c r="AS50" i="2" s="1"/>
  <c r="AR50" i="2"/>
  <c r="AQ50" i="2"/>
  <c r="AM50" i="2"/>
  <c r="AF50" i="2"/>
  <c r="AE50" i="2"/>
  <c r="Y50" i="2"/>
  <c r="U50" i="2"/>
  <c r="T50" i="2" s="1"/>
  <c r="O50" i="2"/>
  <c r="M50" i="2"/>
  <c r="L50" i="2"/>
  <c r="I50" i="2"/>
  <c r="H50" i="2" s="1"/>
  <c r="AY49" i="2"/>
  <c r="AX49" i="2"/>
  <c r="AZ49" i="2" s="1"/>
  <c r="AV49" i="2"/>
  <c r="AW49" i="2" s="1"/>
  <c r="AU49" i="2"/>
  <c r="AT49" i="2"/>
  <c r="AS49" i="2" s="1"/>
  <c r="AR49" i="2"/>
  <c r="AQ49" i="2"/>
  <c r="AM49" i="2"/>
  <c r="AF49" i="2"/>
  <c r="AE49" i="2"/>
  <c r="Y49" i="2"/>
  <c r="V49" i="2" s="1"/>
  <c r="U49" i="2"/>
  <c r="T49" i="2"/>
  <c r="O49" i="2"/>
  <c r="M49" i="2"/>
  <c r="L49" i="2" s="1"/>
  <c r="I49" i="2"/>
  <c r="H49" i="2" s="1"/>
  <c r="AY48" i="2"/>
  <c r="BA48" i="2" s="1"/>
  <c r="AX48" i="2"/>
  <c r="AZ48" i="2" s="1"/>
  <c r="AV48" i="2"/>
  <c r="AW48" i="2" s="1"/>
  <c r="AU48" i="2"/>
  <c r="AT48" i="2"/>
  <c r="AS48" i="2" s="1"/>
  <c r="AR48" i="2"/>
  <c r="AQ48" i="2"/>
  <c r="AM48" i="2"/>
  <c r="AF48" i="2"/>
  <c r="AE48" i="2"/>
  <c r="Y48" i="2"/>
  <c r="U48" i="2"/>
  <c r="T48" i="2" s="1"/>
  <c r="O48" i="2"/>
  <c r="M48" i="2"/>
  <c r="L48" i="2"/>
  <c r="I48" i="2"/>
  <c r="H48" i="2" s="1"/>
  <c r="AY47" i="2"/>
  <c r="BA47" i="2" s="1"/>
  <c r="AX47" i="2"/>
  <c r="AU47" i="2"/>
  <c r="AT47" i="2"/>
  <c r="AS47" i="2" s="1"/>
  <c r="AR47" i="2"/>
  <c r="AN47" i="2"/>
  <c r="AF47" i="2"/>
  <c r="AE47" i="2"/>
  <c r="Y47" i="2"/>
  <c r="V47" i="2" s="1"/>
  <c r="U47" i="2"/>
  <c r="S47" i="2"/>
  <c r="O47" i="2"/>
  <c r="M47" i="2"/>
  <c r="L47" i="2"/>
  <c r="I47" i="2"/>
  <c r="H47" i="2" s="1"/>
  <c r="AY46" i="2"/>
  <c r="AX46" i="2"/>
  <c r="AU46" i="2"/>
  <c r="AT46" i="2"/>
  <c r="AR46" i="2"/>
  <c r="AM46" i="2"/>
  <c r="AH46" i="2" s="1"/>
  <c r="AF46" i="2"/>
  <c r="AE46" i="2"/>
  <c r="Y46" i="2"/>
  <c r="V46" i="2"/>
  <c r="U46" i="2"/>
  <c r="T46" i="2" s="1"/>
  <c r="O46" i="2"/>
  <c r="M46" i="2"/>
  <c r="L46" i="2"/>
  <c r="I46" i="2"/>
  <c r="H46" i="2" s="1"/>
  <c r="AY45" i="2"/>
  <c r="AY44" i="2" s="1"/>
  <c r="AX45" i="2"/>
  <c r="AU45" i="2"/>
  <c r="AT45" i="2"/>
  <c r="AR45" i="2"/>
  <c r="AS45" i="2" s="1"/>
  <c r="AM45" i="2"/>
  <c r="AF45" i="2"/>
  <c r="AE45" i="2"/>
  <c r="Y45" i="2"/>
  <c r="Y44" i="2" s="1"/>
  <c r="U45" i="2"/>
  <c r="U44" i="2" s="1"/>
  <c r="O45" i="2"/>
  <c r="M45" i="2"/>
  <c r="L45" i="2" s="1"/>
  <c r="L44" i="2" s="1"/>
  <c r="I45" i="2"/>
  <c r="H45" i="2" s="1"/>
  <c r="H44" i="2" s="1"/>
  <c r="AX44" i="2"/>
  <c r="AU44" i="2"/>
  <c r="AT44" i="2" s="1"/>
  <c r="AP44" i="2"/>
  <c r="AO44" i="2"/>
  <c r="AN44" i="2"/>
  <c r="AM44" i="2"/>
  <c r="AH44" i="2"/>
  <c r="AF44" i="2"/>
  <c r="AE44" i="2" s="1"/>
  <c r="AB44" i="2"/>
  <c r="AA44" i="2"/>
  <c r="X44" i="2"/>
  <c r="W44" i="2"/>
  <c r="Q44" i="2"/>
  <c r="P44" i="2"/>
  <c r="O44" i="2"/>
  <c r="N44" i="2"/>
  <c r="M44" i="2"/>
  <c r="K44" i="2"/>
  <c r="J44" i="2"/>
  <c r="I44" i="2"/>
  <c r="F44" i="2"/>
  <c r="E44" i="2"/>
  <c r="D44" i="2"/>
  <c r="C44" i="2"/>
  <c r="AY42" i="2"/>
  <c r="AX42" i="2"/>
  <c r="AU42" i="2"/>
  <c r="AS42" i="2" s="1"/>
  <c r="AT42" i="2"/>
  <c r="AR42" i="2"/>
  <c r="AN42" i="2"/>
  <c r="AM42" i="2"/>
  <c r="AF42" i="2"/>
  <c r="AE42" i="2"/>
  <c r="V42" i="2"/>
  <c r="U42" i="2"/>
  <c r="S42" i="2"/>
  <c r="N42" i="2"/>
  <c r="M42" i="2"/>
  <c r="L42" i="2"/>
  <c r="I42" i="2"/>
  <c r="H42" i="2" s="1"/>
  <c r="AY41" i="2"/>
  <c r="AX41" i="2"/>
  <c r="AU41" i="2"/>
  <c r="AT41" i="2"/>
  <c r="AS41" i="2" s="1"/>
  <c r="AR41" i="2"/>
  <c r="AM41" i="2"/>
  <c r="AF41" i="2"/>
  <c r="AE41" i="2"/>
  <c r="Y41" i="2"/>
  <c r="U41" i="2"/>
  <c r="V41" i="2" s="1"/>
  <c r="N41" i="2"/>
  <c r="M41" i="2"/>
  <c r="L41" i="2" s="1"/>
  <c r="I41" i="2"/>
  <c r="H41" i="2" s="1"/>
  <c r="AZ40" i="2"/>
  <c r="AY40" i="2"/>
  <c r="AX40" i="2"/>
  <c r="AU40" i="2"/>
  <c r="AT40" i="2"/>
  <c r="AR40" i="2"/>
  <c r="AM40" i="2"/>
  <c r="AV40" i="2" s="1"/>
  <c r="AW40" i="2" s="1"/>
  <c r="AF40" i="2"/>
  <c r="AE40" i="2"/>
  <c r="Y40" i="2"/>
  <c r="U40" i="2"/>
  <c r="T40" i="2" s="1"/>
  <c r="N40" i="2"/>
  <c r="M40" i="2"/>
  <c r="L40" i="2" s="1"/>
  <c r="I40" i="2"/>
  <c r="H40" i="2" s="1"/>
  <c r="AY39" i="2"/>
  <c r="AX39" i="2"/>
  <c r="AZ39" i="2" s="1"/>
  <c r="AU39" i="2"/>
  <c r="AT39" i="2"/>
  <c r="AR39" i="2"/>
  <c r="AQ39" i="2" s="1"/>
  <c r="AN39" i="2"/>
  <c r="AM39" i="2"/>
  <c r="AV39" i="2" s="1"/>
  <c r="AW39" i="2" s="1"/>
  <c r="AF39" i="2"/>
  <c r="AE39" i="2"/>
  <c r="Y39" i="2"/>
  <c r="U39" i="2"/>
  <c r="V39" i="2" s="1"/>
  <c r="R39" i="2"/>
  <c r="N39" i="2"/>
  <c r="M39" i="2"/>
  <c r="L39" i="2"/>
  <c r="I39" i="2"/>
  <c r="H39" i="2" s="1"/>
  <c r="AY38" i="2"/>
  <c r="BA38" i="2" s="1"/>
  <c r="AX38" i="2"/>
  <c r="AU38" i="2"/>
  <c r="AT38" i="2"/>
  <c r="AZ38" i="2" s="1"/>
  <c r="AR38" i="2"/>
  <c r="AN38" i="2"/>
  <c r="AF38" i="2"/>
  <c r="AE38" i="2"/>
  <c r="V38" i="2"/>
  <c r="U38" i="2"/>
  <c r="S38" i="2"/>
  <c r="AM38" i="2" s="1"/>
  <c r="N38" i="2"/>
  <c r="M38" i="2"/>
  <c r="L38" i="2"/>
  <c r="I38" i="2"/>
  <c r="H38" i="2"/>
  <c r="AY37" i="2"/>
  <c r="BA37" i="2" s="1"/>
  <c r="AX37" i="2"/>
  <c r="AX35" i="2" s="1"/>
  <c r="AU37" i="2"/>
  <c r="AT37" i="2"/>
  <c r="AR37" i="2"/>
  <c r="AQ37" i="2" s="1"/>
  <c r="AN37" i="2"/>
  <c r="AM37" i="2"/>
  <c r="AV37" i="2" s="1"/>
  <c r="AF37" i="2"/>
  <c r="AE37" i="2"/>
  <c r="Z37" i="2"/>
  <c r="Y37" i="2"/>
  <c r="V37" i="2"/>
  <c r="U37" i="2"/>
  <c r="T37" i="2"/>
  <c r="N37" i="2"/>
  <c r="M37" i="2"/>
  <c r="L37" i="2" s="1"/>
  <c r="L35" i="2" s="1"/>
  <c r="I37" i="2"/>
  <c r="I35" i="2" s="1"/>
  <c r="BA36" i="2"/>
  <c r="AY36" i="2"/>
  <c r="AX36" i="2"/>
  <c r="AZ36" i="2" s="1"/>
  <c r="AV36" i="2"/>
  <c r="AU36" i="2"/>
  <c r="AT36" i="2"/>
  <c r="AS36" i="2" s="1"/>
  <c r="AR36" i="2"/>
  <c r="AQ36" i="2"/>
  <c r="AM36" i="2"/>
  <c r="AF36" i="2"/>
  <c r="AE36" i="2"/>
  <c r="Y36" i="2"/>
  <c r="Z36" i="2" s="1"/>
  <c r="U36" i="2"/>
  <c r="T36" i="2" s="1"/>
  <c r="N36" i="2"/>
  <c r="M36" i="2"/>
  <c r="L36" i="2"/>
  <c r="I36" i="2"/>
  <c r="H36" i="2"/>
  <c r="AR35" i="2"/>
  <c r="AP35" i="2"/>
  <c r="AO35" i="2"/>
  <c r="AN35" i="2"/>
  <c r="AM35" i="2"/>
  <c r="AB35" i="2"/>
  <c r="AA35" i="2"/>
  <c r="X35" i="2"/>
  <c r="W35" i="2"/>
  <c r="Q35" i="2"/>
  <c r="P35" i="2"/>
  <c r="O35" i="2"/>
  <c r="N35" i="2"/>
  <c r="K35" i="2"/>
  <c r="J35" i="2"/>
  <c r="F35" i="2"/>
  <c r="E35" i="2"/>
  <c r="D35" i="2"/>
  <c r="C35" i="2"/>
  <c r="AN34" i="2"/>
  <c r="AY33" i="2"/>
  <c r="AX33" i="2"/>
  <c r="AZ33" i="2" s="1"/>
  <c r="AV33" i="2"/>
  <c r="AT33" i="2"/>
  <c r="AR33" i="2"/>
  <c r="AQ33" i="2"/>
  <c r="AM33" i="2"/>
  <c r="AE33" i="2"/>
  <c r="Z33" i="2"/>
  <c r="Y33" i="2"/>
  <c r="X33" i="2"/>
  <c r="AF33" i="2" s="1"/>
  <c r="U33" i="2"/>
  <c r="T33" i="2" s="1"/>
  <c r="O33" i="2"/>
  <c r="M33" i="2"/>
  <c r="L33" i="2"/>
  <c r="I33" i="2"/>
  <c r="H33" i="2" s="1"/>
  <c r="AY32" i="2"/>
  <c r="AX32" i="2"/>
  <c r="AT32" i="2"/>
  <c r="AR32" i="2"/>
  <c r="AM32" i="2"/>
  <c r="AE32" i="2"/>
  <c r="Y32" i="2"/>
  <c r="X32" i="2"/>
  <c r="AU32" i="2" s="1"/>
  <c r="U32" i="2"/>
  <c r="V32" i="2" s="1"/>
  <c r="O32" i="2"/>
  <c r="M32" i="2"/>
  <c r="L32" i="2"/>
  <c r="I32" i="2"/>
  <c r="H32" i="2"/>
  <c r="AY31" i="2"/>
  <c r="AX31" i="2"/>
  <c r="AZ31" i="2" s="1"/>
  <c r="AT31" i="2"/>
  <c r="AR31" i="2"/>
  <c r="AM31" i="2"/>
  <c r="AE31" i="2"/>
  <c r="Y31" i="2"/>
  <c r="X31" i="2"/>
  <c r="AF31" i="2" s="1"/>
  <c r="U31" i="2"/>
  <c r="T31" i="2" s="1"/>
  <c r="O31" i="2"/>
  <c r="M31" i="2"/>
  <c r="L31" i="2"/>
  <c r="I31" i="2"/>
  <c r="H31" i="2"/>
  <c r="AY30" i="2"/>
  <c r="AY26" i="2" s="1"/>
  <c r="AX30" i="2"/>
  <c r="AT30" i="2"/>
  <c r="AS30" i="2" s="1"/>
  <c r="AR30" i="2"/>
  <c r="AM30" i="2"/>
  <c r="AF30" i="2"/>
  <c r="AE30" i="2"/>
  <c r="Z30" i="2"/>
  <c r="Y30" i="2"/>
  <c r="V30" i="2"/>
  <c r="U30" i="2"/>
  <c r="T30" i="2"/>
  <c r="O30" i="2"/>
  <c r="M30" i="2"/>
  <c r="L30" i="2" s="1"/>
  <c r="L26" i="2" s="1"/>
  <c r="I30" i="2"/>
  <c r="H30" i="2" s="1"/>
  <c r="BA29" i="2"/>
  <c r="AY29" i="2"/>
  <c r="AX29" i="2"/>
  <c r="AT29" i="2"/>
  <c r="AR29" i="2"/>
  <c r="AS29" i="2" s="1"/>
  <c r="AM29" i="2"/>
  <c r="AF29" i="2"/>
  <c r="AE29" i="2"/>
  <c r="Y29" i="2"/>
  <c r="V29" i="2"/>
  <c r="U29" i="2"/>
  <c r="O29" i="2"/>
  <c r="M29" i="2"/>
  <c r="L29" i="2"/>
  <c r="I29" i="2"/>
  <c r="H29" i="2" s="1"/>
  <c r="BA28" i="2"/>
  <c r="AY28" i="2"/>
  <c r="AX28" i="2"/>
  <c r="AT28" i="2"/>
  <c r="AS28" i="2"/>
  <c r="AR28" i="2"/>
  <c r="AM28" i="2"/>
  <c r="AF28" i="2"/>
  <c r="AE28" i="2"/>
  <c r="Y28" i="2"/>
  <c r="Z28" i="2" s="1"/>
  <c r="U28" i="2"/>
  <c r="T28" i="2" s="1"/>
  <c r="O28" i="2"/>
  <c r="M28" i="2"/>
  <c r="L28" i="2"/>
  <c r="I28" i="2"/>
  <c r="H28" i="2"/>
  <c r="BA27" i="2"/>
  <c r="AY27" i="2"/>
  <c r="AX27" i="2"/>
  <c r="AT27" i="2"/>
  <c r="AS27" i="2" s="1"/>
  <c r="AR27" i="2"/>
  <c r="AN27" i="2"/>
  <c r="AM27" i="2"/>
  <c r="AV27" i="2" s="1"/>
  <c r="AQ27" i="2" s="1"/>
  <c r="AF27" i="2"/>
  <c r="AE27" i="2"/>
  <c r="Z27" i="2"/>
  <c r="Y27" i="2"/>
  <c r="U27" i="2"/>
  <c r="T27" i="2" s="1"/>
  <c r="O27" i="2"/>
  <c r="O26" i="2" s="1"/>
  <c r="M27" i="2"/>
  <c r="L27" i="2"/>
  <c r="I27" i="2"/>
  <c r="H27" i="2"/>
  <c r="AX26" i="2"/>
  <c r="AV26" i="2"/>
  <c r="AP26" i="2"/>
  <c r="AO26" i="2"/>
  <c r="AN26" i="2"/>
  <c r="AM26" i="2"/>
  <c r="AB26" i="2"/>
  <c r="AA26" i="2"/>
  <c r="W26" i="2"/>
  <c r="U26" i="2"/>
  <c r="Q26" i="2"/>
  <c r="P26" i="2"/>
  <c r="N26" i="2"/>
  <c r="K26" i="2"/>
  <c r="J26" i="2"/>
  <c r="F26" i="2"/>
  <c r="E26" i="2"/>
  <c r="D26" i="2"/>
  <c r="C26" i="2"/>
  <c r="AY24" i="2"/>
  <c r="AX24" i="2"/>
  <c r="AU24" i="2"/>
  <c r="BA24" i="2" s="1"/>
  <c r="AT24" i="2"/>
  <c r="AZ24" i="2" s="1"/>
  <c r="AR24" i="2"/>
  <c r="AN24" i="2"/>
  <c r="AF24" i="2"/>
  <c r="AE24" i="2"/>
  <c r="U24" i="2"/>
  <c r="S24" i="2"/>
  <c r="AM24" i="2" s="1"/>
  <c r="O24" i="2"/>
  <c r="M24" i="2"/>
  <c r="L24" i="2" s="1"/>
  <c r="I24" i="2"/>
  <c r="H24" i="2" s="1"/>
  <c r="AY23" i="2"/>
  <c r="BA23" i="2" s="1"/>
  <c r="AZ23" i="2" s="1"/>
  <c r="AX23" i="2"/>
  <c r="AU23" i="2"/>
  <c r="AS23" i="2" s="1"/>
  <c r="AT23" i="2"/>
  <c r="AR23" i="2"/>
  <c r="AM23" i="2"/>
  <c r="AF23" i="2"/>
  <c r="AE23" i="2"/>
  <c r="Y23" i="2"/>
  <c r="U23" i="2"/>
  <c r="T23" i="2" s="1"/>
  <c r="O23" i="2"/>
  <c r="M23" i="2"/>
  <c r="L23" i="2" s="1"/>
  <c r="I23" i="2"/>
  <c r="H23" i="2" s="1"/>
  <c r="AY22" i="2"/>
  <c r="BA22" i="2" s="1"/>
  <c r="AZ22" i="2" s="1"/>
  <c r="AX22" i="2"/>
  <c r="AU22" i="2"/>
  <c r="AS22" i="2" s="1"/>
  <c r="AT22" i="2"/>
  <c r="AR22" i="2"/>
  <c r="AM22" i="2"/>
  <c r="AF22" i="2"/>
  <c r="AE22" i="2"/>
  <c r="Y22" i="2"/>
  <c r="U22" i="2"/>
  <c r="T22" i="2" s="1"/>
  <c r="O22" i="2"/>
  <c r="M22" i="2"/>
  <c r="L22" i="2" s="1"/>
  <c r="I22" i="2"/>
  <c r="H22" i="2" s="1"/>
  <c r="AY21" i="2"/>
  <c r="AX21" i="2"/>
  <c r="AZ21" i="2" s="1"/>
  <c r="AU21" i="2"/>
  <c r="AS21" i="2" s="1"/>
  <c r="AT21" i="2"/>
  <c r="AR21" i="2"/>
  <c r="AN21" i="2"/>
  <c r="AF21" i="2"/>
  <c r="AE21" i="2"/>
  <c r="U21" i="2"/>
  <c r="S21" i="2"/>
  <c r="AM21" i="2" s="1"/>
  <c r="O21" i="2"/>
  <c r="M21" i="2"/>
  <c r="L21" i="2" s="1"/>
  <c r="I21" i="2"/>
  <c r="H21" i="2" s="1"/>
  <c r="AY20" i="2"/>
  <c r="AX20" i="2"/>
  <c r="AU20" i="2"/>
  <c r="AT20" i="2"/>
  <c r="AR20" i="2"/>
  <c r="AF20" i="2"/>
  <c r="AE20" i="2"/>
  <c r="U20" i="2"/>
  <c r="S20" i="2"/>
  <c r="AM20" i="2" s="1"/>
  <c r="O20" i="2"/>
  <c r="M20" i="2"/>
  <c r="L20" i="2" s="1"/>
  <c r="I20" i="2"/>
  <c r="H20" i="2" s="1"/>
  <c r="AY19" i="2"/>
  <c r="AX19" i="2"/>
  <c r="AU19" i="2"/>
  <c r="AT19" i="2"/>
  <c r="AS19" i="2"/>
  <c r="AR19" i="2"/>
  <c r="AN19" i="2"/>
  <c r="AN17" i="2" s="1"/>
  <c r="AM19" i="2"/>
  <c r="AF19" i="2"/>
  <c r="AE19" i="2"/>
  <c r="Y19" i="2"/>
  <c r="V19" i="2"/>
  <c r="U19" i="2"/>
  <c r="T19" i="2" s="1"/>
  <c r="O19" i="2"/>
  <c r="M19" i="2"/>
  <c r="L19" i="2"/>
  <c r="I19" i="2"/>
  <c r="H19" i="2" s="1"/>
  <c r="AY18" i="2"/>
  <c r="AX18" i="2"/>
  <c r="AX17" i="2" s="1"/>
  <c r="AU18" i="2"/>
  <c r="AS18" i="2" s="1"/>
  <c r="AT18" i="2"/>
  <c r="AR18" i="2"/>
  <c r="AM18" i="2"/>
  <c r="AF18" i="2"/>
  <c r="AE18" i="2"/>
  <c r="AD18" i="2"/>
  <c r="Z18" i="2"/>
  <c r="Y18" i="2"/>
  <c r="V18" i="2"/>
  <c r="U18" i="2"/>
  <c r="O18" i="2"/>
  <c r="O17" i="2" s="1"/>
  <c r="M18" i="2"/>
  <c r="L18" i="2" s="1"/>
  <c r="I18" i="2"/>
  <c r="AY17" i="2"/>
  <c r="AP17" i="2"/>
  <c r="AO17" i="2"/>
  <c r="AM17" i="2"/>
  <c r="AH17" i="2"/>
  <c r="AH19" i="2" s="1"/>
  <c r="AE17" i="2"/>
  <c r="AB17" i="2"/>
  <c r="AA17" i="2"/>
  <c r="X17" i="2"/>
  <c r="W17" i="2"/>
  <c r="U17" i="2"/>
  <c r="Q17" i="2"/>
  <c r="P17" i="2"/>
  <c r="N17" i="2"/>
  <c r="L17" i="2"/>
  <c r="K17" i="2"/>
  <c r="J17" i="2"/>
  <c r="F17" i="2"/>
  <c r="E17" i="2"/>
  <c r="D17" i="2"/>
  <c r="C17" i="2"/>
  <c r="AY15" i="2"/>
  <c r="AU15" i="2"/>
  <c r="AT15" i="2"/>
  <c r="AR15" i="2"/>
  <c r="AN15" i="2"/>
  <c r="AF15" i="2"/>
  <c r="AE15" i="2"/>
  <c r="AA15" i="2"/>
  <c r="AX15" i="2" s="1"/>
  <c r="W15" i="2"/>
  <c r="U15" i="2"/>
  <c r="S15" i="2"/>
  <c r="AM15" i="2" s="1"/>
  <c r="O15" i="2"/>
  <c r="M15" i="2"/>
  <c r="L15" i="2" s="1"/>
  <c r="I15" i="2"/>
  <c r="H15" i="2" s="1"/>
  <c r="AY14" i="2"/>
  <c r="AX14" i="2"/>
  <c r="AU14" i="2"/>
  <c r="AT14" i="2"/>
  <c r="AZ14" i="2" s="1"/>
  <c r="AR14" i="2"/>
  <c r="AM14" i="2"/>
  <c r="AF14" i="2"/>
  <c r="W14" i="2"/>
  <c r="U14" i="2"/>
  <c r="S14" i="2"/>
  <c r="O14" i="2"/>
  <c r="M14" i="2"/>
  <c r="L14" i="2"/>
  <c r="I14" i="2"/>
  <c r="H14" i="2"/>
  <c r="AY13" i="2"/>
  <c r="AX13" i="2"/>
  <c r="AU13" i="2"/>
  <c r="AT13" i="2"/>
  <c r="AR13" i="2"/>
  <c r="AN13" i="2"/>
  <c r="AF13" i="2"/>
  <c r="AE13" i="2"/>
  <c r="U13" i="2"/>
  <c r="V13" i="2" s="1"/>
  <c r="S13" i="2"/>
  <c r="AM13" i="2" s="1"/>
  <c r="O13" i="2"/>
  <c r="M13" i="2"/>
  <c r="L13" i="2"/>
  <c r="I13" i="2"/>
  <c r="H13" i="2" s="1"/>
  <c r="AY12" i="2"/>
  <c r="AX12" i="2"/>
  <c r="AU12" i="2"/>
  <c r="AT12" i="2"/>
  <c r="AR12" i="2"/>
  <c r="AS12" i="2" s="1"/>
  <c r="AF12" i="2"/>
  <c r="AE12" i="2"/>
  <c r="U12" i="2"/>
  <c r="S12" i="2"/>
  <c r="AM12" i="2" s="1"/>
  <c r="O12" i="2"/>
  <c r="M12" i="2"/>
  <c r="L12" i="2" s="1"/>
  <c r="I12" i="2"/>
  <c r="H12" i="2" s="1"/>
  <c r="AY11" i="2"/>
  <c r="AU11" i="2"/>
  <c r="AR11" i="2"/>
  <c r="AN11" i="2"/>
  <c r="AF11" i="2"/>
  <c r="AF8" i="2" s="1"/>
  <c r="AA11" i="2"/>
  <c r="AX11" i="2" s="1"/>
  <c r="W11" i="2"/>
  <c r="AT11" i="2" s="1"/>
  <c r="U11" i="2"/>
  <c r="V11" i="2" s="1"/>
  <c r="S11" i="2"/>
  <c r="AM11" i="2" s="1"/>
  <c r="O11" i="2"/>
  <c r="M11" i="2"/>
  <c r="L11" i="2"/>
  <c r="I11" i="2"/>
  <c r="H11" i="2" s="1"/>
  <c r="AY10" i="2"/>
  <c r="AX10" i="2"/>
  <c r="AZ10" i="2" s="1"/>
  <c r="AU10" i="2"/>
  <c r="AT10" i="2"/>
  <c r="AR10" i="2"/>
  <c r="AS10" i="2" s="1"/>
  <c r="AN10" i="2"/>
  <c r="AF10" i="2"/>
  <c r="AE10" i="2"/>
  <c r="W10" i="2"/>
  <c r="U10" i="2"/>
  <c r="S10" i="2"/>
  <c r="AM10" i="2" s="1"/>
  <c r="O10" i="2"/>
  <c r="M10" i="2"/>
  <c r="L10" i="2"/>
  <c r="I10" i="2"/>
  <c r="H10" i="2" s="1"/>
  <c r="AY9" i="2"/>
  <c r="AX9" i="2"/>
  <c r="AU9" i="2"/>
  <c r="AR9" i="2"/>
  <c r="AN9" i="2"/>
  <c r="AN8" i="2" s="1"/>
  <c r="AM9" i="2"/>
  <c r="AF9" i="2"/>
  <c r="Z9" i="2"/>
  <c r="Y9" i="2"/>
  <c r="W9" i="2"/>
  <c r="AE9" i="2" s="1"/>
  <c r="U9" i="2"/>
  <c r="V9" i="2" s="1"/>
  <c r="O9" i="2"/>
  <c r="M9" i="2"/>
  <c r="L9" i="2"/>
  <c r="L8" i="2" s="1"/>
  <c r="I9" i="2"/>
  <c r="H9" i="2"/>
  <c r="AY8" i="2"/>
  <c r="AU8" i="2"/>
  <c r="AP8" i="2"/>
  <c r="AO8" i="2"/>
  <c r="AB8" i="2"/>
  <c r="AA8" i="2"/>
  <c r="X8" i="2"/>
  <c r="W8" i="2"/>
  <c r="U8" i="2"/>
  <c r="Q8" i="2"/>
  <c r="P8" i="2"/>
  <c r="O8" i="2"/>
  <c r="N8" i="2"/>
  <c r="M8" i="2"/>
  <c r="K8" i="2"/>
  <c r="J8" i="2"/>
  <c r="I8" i="2"/>
  <c r="F8" i="2"/>
  <c r="E8" i="2"/>
  <c r="D8" i="2"/>
  <c r="C8" i="2"/>
  <c r="AL8" i="2" s="1"/>
  <c r="BX303" i="6"/>
  <c r="BV302" i="6"/>
  <c r="BX302" i="6" s="1"/>
  <c r="BT302" i="6"/>
  <c r="BR302" i="6"/>
  <c r="BO302" i="6"/>
  <c r="BM302" i="6"/>
  <c r="BK302" i="6"/>
  <c r="BG302" i="6"/>
  <c r="BE302" i="6"/>
  <c r="BB302" i="6"/>
  <c r="AZ302" i="6"/>
  <c r="AX302" i="6"/>
  <c r="AS302" i="6"/>
  <c r="AP302" i="6"/>
  <c r="AN302" i="6"/>
  <c r="AL302" i="6"/>
  <c r="AI302" i="6"/>
  <c r="AG302" i="6"/>
  <c r="AE302" i="6"/>
  <c r="AB302" i="6"/>
  <c r="Z302" i="6"/>
  <c r="W302" i="6"/>
  <c r="U302" i="6"/>
  <c r="S302" i="6"/>
  <c r="P302" i="6"/>
  <c r="N302" i="6"/>
  <c r="L302" i="6"/>
  <c r="I302" i="6"/>
  <c r="G302" i="6"/>
  <c r="E302" i="6"/>
  <c r="BX301" i="6"/>
  <c r="BX300" i="6"/>
  <c r="BX299" i="6"/>
  <c r="AD9" i="2" l="1"/>
  <c r="H8" i="2"/>
  <c r="AS11" i="2"/>
  <c r="AX8" i="2"/>
  <c r="AZ11" i="2"/>
  <c r="AZ15" i="2"/>
  <c r="AR8" i="2"/>
  <c r="T9" i="2"/>
  <c r="V10" i="2"/>
  <c r="V14" i="2"/>
  <c r="AE14" i="2"/>
  <c r="AS14" i="2"/>
  <c r="H18" i="2"/>
  <c r="I17" i="2"/>
  <c r="H26" i="2"/>
  <c r="AE11" i="2"/>
  <c r="AS15" i="2"/>
  <c r="V15" i="2"/>
  <c r="AQ40" i="2"/>
  <c r="BB54" i="2"/>
  <c r="AT9" i="2"/>
  <c r="AG18" i="2"/>
  <c r="AC18" i="2"/>
  <c r="BA32" i="2"/>
  <c r="AZ32" i="2" s="1"/>
  <c r="AS32" i="2"/>
  <c r="T64" i="2"/>
  <c r="U62" i="2"/>
  <c r="T18" i="2"/>
  <c r="V20" i="2"/>
  <c r="AS24" i="2"/>
  <c r="I26" i="2"/>
  <c r="M26" i="2"/>
  <c r="X26" i="2"/>
  <c r="V28" i="2"/>
  <c r="AD28" i="2" s="1"/>
  <c r="T29" i="2"/>
  <c r="V31" i="2"/>
  <c r="AU31" i="2"/>
  <c r="AS31" i="2" s="1"/>
  <c r="T32" i="2"/>
  <c r="V33" i="2"/>
  <c r="U35" i="2"/>
  <c r="V36" i="2"/>
  <c r="H37" i="2"/>
  <c r="H35" i="2" s="1"/>
  <c r="AS38" i="2"/>
  <c r="AS40" i="2"/>
  <c r="V45" i="2"/>
  <c r="AS46" i="2"/>
  <c r="AS44" i="2" s="1"/>
  <c r="AR44" i="2" s="1"/>
  <c r="AT53" i="2"/>
  <c r="AQ56" i="2"/>
  <c r="AS58" i="2"/>
  <c r="AW58" i="2"/>
  <c r="BB58" i="2" s="1"/>
  <c r="Z59" i="2"/>
  <c r="AS59" i="2"/>
  <c r="AW59" i="2"/>
  <c r="AS60" i="2"/>
  <c r="V63" i="2"/>
  <c r="AD63" i="2" s="1"/>
  <c r="V65" i="2"/>
  <c r="BA68" i="2"/>
  <c r="O71" i="2"/>
  <c r="AQ72" i="2"/>
  <c r="AG81" i="2"/>
  <c r="L107" i="2"/>
  <c r="T26" i="2"/>
  <c r="AZ27" i="2"/>
  <c r="AD33" i="2"/>
  <c r="AU33" i="2"/>
  <c r="AS33" i="2" s="1"/>
  <c r="AW37" i="2"/>
  <c r="T54" i="2"/>
  <c r="BC58" i="2"/>
  <c r="T59" i="2"/>
  <c r="AQ63" i="2"/>
  <c r="V64" i="2"/>
  <c r="AS72" i="2"/>
  <c r="AT71" i="2"/>
  <c r="H80" i="2"/>
  <c r="L89" i="2"/>
  <c r="AS13" i="2"/>
  <c r="M17" i="2"/>
  <c r="AU17" i="2"/>
  <c r="AT17" i="2" s="1"/>
  <c r="AS17" i="2" s="1"/>
  <c r="AR17" i="2" s="1"/>
  <c r="AS20" i="2"/>
  <c r="V22" i="2"/>
  <c r="V23" i="2"/>
  <c r="V27" i="2"/>
  <c r="AW33" i="2"/>
  <c r="M35" i="2"/>
  <c r="AT35" i="2"/>
  <c r="AW36" i="2"/>
  <c r="AS37" i="2"/>
  <c r="AS39" i="2"/>
  <c r="V40" i="2"/>
  <c r="AM47" i="2"/>
  <c r="AZ47" i="2"/>
  <c r="V48" i="2"/>
  <c r="V50" i="2"/>
  <c r="AW56" i="2"/>
  <c r="BB56" i="2" s="1"/>
  <c r="Z57" i="2"/>
  <c r="AD57" i="2" s="1"/>
  <c r="V58" i="2"/>
  <c r="AD58" i="2" s="1"/>
  <c r="AZ58" i="2"/>
  <c r="AD59" i="2"/>
  <c r="AZ59" i="2"/>
  <c r="M62" i="2"/>
  <c r="AS63" i="2"/>
  <c r="AW63" i="2"/>
  <c r="Z64" i="2"/>
  <c r="AS64" i="2"/>
  <c r="AQ76" i="2"/>
  <c r="AW76" i="2"/>
  <c r="L80" i="2"/>
  <c r="AZ90" i="2"/>
  <c r="AW27" i="2"/>
  <c r="AZ28" i="2"/>
  <c r="AZ29" i="2"/>
  <c r="AD30" i="2"/>
  <c r="AD37" i="2"/>
  <c r="AZ37" i="2"/>
  <c r="T39" i="2"/>
  <c r="T41" i="2"/>
  <c r="T45" i="2"/>
  <c r="T44" i="2" s="1"/>
  <c r="T47" i="2"/>
  <c r="BC56" i="2"/>
  <c r="AW57" i="2"/>
  <c r="BB57" i="2" s="1"/>
  <c r="BC57" i="2" s="1"/>
  <c r="H62" i="2"/>
  <c r="AQ67" i="2"/>
  <c r="AS67" i="2"/>
  <c r="BB72" i="2"/>
  <c r="AZ72" i="2"/>
  <c r="AX71" i="2"/>
  <c r="AZ99" i="2"/>
  <c r="AG101" i="2"/>
  <c r="AC101" i="2"/>
  <c r="H107" i="2"/>
  <c r="AW68" i="2"/>
  <c r="AD69" i="2"/>
  <c r="V72" i="2"/>
  <c r="AZ75" i="2"/>
  <c r="AS76" i="2"/>
  <c r="BA76" i="2"/>
  <c r="BA84" i="2"/>
  <c r="AW86" i="2"/>
  <c r="AS91" i="2"/>
  <c r="AZ92" i="2"/>
  <c r="AS94" i="2"/>
  <c r="U98" i="2"/>
  <c r="AZ100" i="2"/>
  <c r="AS104" i="2"/>
  <c r="V112" i="2"/>
  <c r="AS112" i="2"/>
  <c r="AS107" i="2" s="1"/>
  <c r="AR107" i="2" s="1"/>
  <c r="AS114" i="2"/>
  <c r="AS117" i="2"/>
  <c r="BA117" i="2"/>
  <c r="T128" i="2"/>
  <c r="T146" i="2"/>
  <c r="AS69" i="2"/>
  <c r="M71" i="2"/>
  <c r="AQ75" i="2"/>
  <c r="AF81" i="2"/>
  <c r="AC81" i="2" s="1"/>
  <c r="T82" i="2"/>
  <c r="T80" i="2" s="1"/>
  <c r="Z82" i="2"/>
  <c r="AS83" i="2"/>
  <c r="AS80" i="2" s="1"/>
  <c r="AR80" i="2" s="1"/>
  <c r="V84" i="2"/>
  <c r="AF84" i="2"/>
  <c r="AW84" i="2"/>
  <c r="Z85" i="2"/>
  <c r="AD85" i="2" s="1"/>
  <c r="AS85" i="2"/>
  <c r="AW85" i="2"/>
  <c r="Z86" i="2"/>
  <c r="AS86" i="2"/>
  <c r="AS95" i="2"/>
  <c r="AD100" i="2"/>
  <c r="L101" i="2"/>
  <c r="L98" i="2" s="1"/>
  <c r="T101" i="2"/>
  <c r="AS101" i="2"/>
  <c r="I107" i="2"/>
  <c r="M107" i="2"/>
  <c r="AQ109" i="2"/>
  <c r="T110" i="2"/>
  <c r="T107" i="2" s="1"/>
  <c r="T117" i="2"/>
  <c r="V120" i="2"/>
  <c r="Z120" i="2"/>
  <c r="V141" i="2"/>
  <c r="Z141" i="2"/>
  <c r="Y134" i="2"/>
  <c r="AD74" i="2"/>
  <c r="AH118" i="2"/>
  <c r="V119" i="2"/>
  <c r="V116" i="2" s="1"/>
  <c r="Z119" i="2"/>
  <c r="AD119" i="2" s="1"/>
  <c r="AQ120" i="2"/>
  <c r="AS120" i="2"/>
  <c r="V121" i="2"/>
  <c r="Z121" i="2"/>
  <c r="V67" i="2"/>
  <c r="AD67" i="2" s="1"/>
  <c r="AW67" i="2"/>
  <c r="BB67" i="2" s="1"/>
  <c r="BC67" i="2" s="1"/>
  <c r="V68" i="2"/>
  <c r="AD68" i="2" s="1"/>
  <c r="AQ68" i="2"/>
  <c r="V76" i="2"/>
  <c r="V71" i="2" s="1"/>
  <c r="V77" i="2"/>
  <c r="I80" i="2"/>
  <c r="V82" i="2"/>
  <c r="V83" i="2"/>
  <c r="AS84" i="2"/>
  <c r="AZ84" i="2"/>
  <c r="AZ85" i="2"/>
  <c r="AD86" i="2"/>
  <c r="V87" i="2"/>
  <c r="AD87" i="2" s="1"/>
  <c r="AS87" i="2"/>
  <c r="H89" i="2"/>
  <c r="U89" i="2"/>
  <c r="AW91" i="2"/>
  <c r="AS92" i="2"/>
  <c r="AS89" i="2" s="1"/>
  <c r="AR89" i="2" s="1"/>
  <c r="AS93" i="2"/>
  <c r="V94" i="2"/>
  <c r="V89" i="2" s="1"/>
  <c r="T95" i="2"/>
  <c r="T99" i="2"/>
  <c r="AS100" i="2"/>
  <c r="BB100" i="2" s="1"/>
  <c r="BC100" i="2" s="1"/>
  <c r="T102" i="2"/>
  <c r="AS103" i="2"/>
  <c r="V104" i="2"/>
  <c r="V98" i="2" s="1"/>
  <c r="Y107" i="2"/>
  <c r="AT107" i="2"/>
  <c r="V110" i="2"/>
  <c r="V107" i="2" s="1"/>
  <c r="V111" i="2"/>
  <c r="V113" i="2"/>
  <c r="AS113" i="2"/>
  <c r="V114" i="2"/>
  <c r="U116" i="2"/>
  <c r="Y116" i="2"/>
  <c r="T120" i="2"/>
  <c r="AQ121" i="2"/>
  <c r="AS121" i="2"/>
  <c r="BB121" i="2" s="1"/>
  <c r="L125" i="2"/>
  <c r="V128" i="2"/>
  <c r="Z128" i="2"/>
  <c r="V146" i="2"/>
  <c r="Z146" i="2"/>
  <c r="AD146" i="2" s="1"/>
  <c r="AQ148" i="2"/>
  <c r="AW120" i="2"/>
  <c r="V122" i="2"/>
  <c r="AD122" i="2" s="1"/>
  <c r="AW122" i="2"/>
  <c r="V123" i="2"/>
  <c r="AD123" i="2" s="1"/>
  <c r="I125" i="2"/>
  <c r="H125" i="2" s="1"/>
  <c r="M125" i="2"/>
  <c r="AW127" i="2"/>
  <c r="AS128" i="2"/>
  <c r="AS125" i="2" s="1"/>
  <c r="V130" i="2"/>
  <c r="AW130" i="2"/>
  <c r="V132" i="2"/>
  <c r="V136" i="2"/>
  <c r="T138" i="2"/>
  <c r="T134" i="2" s="1"/>
  <c r="V140" i="2"/>
  <c r="AM141" i="2"/>
  <c r="AS141" i="2"/>
  <c r="AT143" i="2"/>
  <c r="AW144" i="2"/>
  <c r="V145" i="2"/>
  <c r="AS146" i="2"/>
  <c r="AS143" i="2" s="1"/>
  <c r="AR143" i="2" s="1"/>
  <c r="AS147" i="2"/>
  <c r="AS148" i="2"/>
  <c r="AS150" i="2"/>
  <c r="V153" i="2"/>
  <c r="BA154" i="2"/>
  <c r="Y155" i="2"/>
  <c r="Z155" i="2" s="1"/>
  <c r="AS156" i="2"/>
  <c r="AS159" i="2"/>
  <c r="AZ159" i="2"/>
  <c r="AQ164" i="2"/>
  <c r="AQ190" i="2"/>
  <c r="AL190" i="2"/>
  <c r="AZ126" i="2"/>
  <c r="AS135" i="2"/>
  <c r="AS136" i="2"/>
  <c r="AD141" i="2"/>
  <c r="AM146" i="2"/>
  <c r="AZ150" i="2"/>
  <c r="AZ156" i="2"/>
  <c r="AG162" i="2"/>
  <c r="AC162" i="2"/>
  <c r="BB171" i="2"/>
  <c r="BB180" i="2"/>
  <c r="AM119" i="2"/>
  <c r="AD120" i="2"/>
  <c r="AD121" i="2"/>
  <c r="AS122" i="2"/>
  <c r="AZ122" i="2"/>
  <c r="U125" i="2"/>
  <c r="AZ127" i="2"/>
  <c r="Z129" i="2"/>
  <c r="AD129" i="2" s="1"/>
  <c r="AS129" i="2"/>
  <c r="AZ130" i="2"/>
  <c r="V131" i="2"/>
  <c r="AD131" i="2" s="1"/>
  <c r="AZ132" i="2"/>
  <c r="U134" i="2"/>
  <c r="AH136" i="2"/>
  <c r="Z137" i="2"/>
  <c r="AD137" i="2" s="1"/>
  <c r="AS138" i="2"/>
  <c r="AX143" i="2"/>
  <c r="AZ144" i="2"/>
  <c r="V148" i="2"/>
  <c r="AD148" i="2" s="1"/>
  <c r="AH154" i="2"/>
  <c r="AV154" i="2"/>
  <c r="T156" i="2"/>
  <c r="V156" i="2"/>
  <c r="V159" i="2"/>
  <c r="Z174" i="2"/>
  <c r="AD174" i="2" s="1"/>
  <c r="T174" i="2"/>
  <c r="AG189" i="2"/>
  <c r="AC189" i="2"/>
  <c r="AW123" i="2"/>
  <c r="BB123" i="2" s="1"/>
  <c r="AQ127" i="2"/>
  <c r="AD128" i="2"/>
  <c r="AD130" i="2"/>
  <c r="AW131" i="2"/>
  <c r="BB131" i="2" s="1"/>
  <c r="BC131" i="2" s="1"/>
  <c r="AS134" i="2"/>
  <c r="H143" i="2"/>
  <c r="AZ145" i="2"/>
  <c r="AW148" i="2"/>
  <c r="AW154" i="2"/>
  <c r="BB154" i="2" s="1"/>
  <c r="BC154" i="2" s="1"/>
  <c r="V155" i="2"/>
  <c r="T155" i="2"/>
  <c r="AZ157" i="2"/>
  <c r="AQ158" i="2"/>
  <c r="AS158" i="2"/>
  <c r="AQ154" i="2"/>
  <c r="AS155" i="2"/>
  <c r="AS152" i="2" s="1"/>
  <c r="AW158" i="2"/>
  <c r="I161" i="2"/>
  <c r="H161" i="2" s="1"/>
  <c r="M161" i="2"/>
  <c r="AS162" i="2"/>
  <c r="V164" i="2"/>
  <c r="AD164" i="2"/>
  <c r="T167" i="2"/>
  <c r="V168" i="2"/>
  <c r="AD168" i="2" s="1"/>
  <c r="T172" i="2"/>
  <c r="AS172" i="2"/>
  <c r="V173" i="2"/>
  <c r="AS173" i="2"/>
  <c r="AS174" i="2"/>
  <c r="AW175" i="2"/>
  <c r="BB175" i="2" s="1"/>
  <c r="BA175" i="2" s="1"/>
  <c r="AS182" i="2"/>
  <c r="BC184" i="2"/>
  <c r="AE188" i="2"/>
  <c r="BA190" i="2"/>
  <c r="AZ190" i="2" s="1"/>
  <c r="L191" i="2"/>
  <c r="L188" i="2" s="1"/>
  <c r="M188" i="2"/>
  <c r="T192" i="2"/>
  <c r="V192" i="2"/>
  <c r="AQ195" i="2"/>
  <c r="AL195" i="2"/>
  <c r="AG195" i="2" s="1"/>
  <c r="AD203" i="2"/>
  <c r="AS203" i="2"/>
  <c r="AZ213" i="2"/>
  <c r="AG216" i="2"/>
  <c r="AC216" i="2"/>
  <c r="AQ217" i="2"/>
  <c r="AW217" i="2"/>
  <c r="BA163" i="2"/>
  <c r="AZ163" i="2" s="1"/>
  <c r="AW164" i="2"/>
  <c r="AD166" i="2"/>
  <c r="AZ173" i="2"/>
  <c r="AS181" i="2"/>
  <c r="AZ182" i="2"/>
  <c r="V185" i="2"/>
  <c r="Z185" i="2"/>
  <c r="H189" i="2"/>
  <c r="I188" i="2"/>
  <c r="AW193" i="2"/>
  <c r="V198" i="2"/>
  <c r="Z198" i="2"/>
  <c r="AX197" i="2"/>
  <c r="L199" i="2"/>
  <c r="L197" i="2" s="1"/>
  <c r="M197" i="2"/>
  <c r="AZ199" i="2"/>
  <c r="T204" i="2"/>
  <c r="AS207" i="2"/>
  <c r="BA207" i="2"/>
  <c r="AZ207" i="2" s="1"/>
  <c r="AX206" i="2"/>
  <c r="V211" i="2"/>
  <c r="Z211" i="2"/>
  <c r="AD211" i="2" s="1"/>
  <c r="AQ220" i="2"/>
  <c r="AD155" i="2"/>
  <c r="V158" i="2"/>
  <c r="AD158" i="2" s="1"/>
  <c r="V161" i="2"/>
  <c r="V163" i="2"/>
  <c r="AS164" i="2"/>
  <c r="AS165" i="2"/>
  <c r="AW166" i="2"/>
  <c r="BB166" i="2" s="1"/>
  <c r="V171" i="2"/>
  <c r="AZ175" i="2"/>
  <c r="V176" i="2"/>
  <c r="I179" i="2"/>
  <c r="H179" i="2" s="1"/>
  <c r="U179" i="2"/>
  <c r="T179" i="2" s="1"/>
  <c r="AU179" i="2"/>
  <c r="AT179" i="2" s="1"/>
  <c r="AY179" i="2"/>
  <c r="V180" i="2"/>
  <c r="Z180" i="2"/>
  <c r="AQ180" i="2"/>
  <c r="T181" i="2"/>
  <c r="AZ181" i="2"/>
  <c r="AZ179" i="2" s="1"/>
  <c r="AZ184" i="2"/>
  <c r="AQ185" i="2"/>
  <c r="AS185" i="2"/>
  <c r="AU188" i="2"/>
  <c r="AR189" i="2"/>
  <c r="AZ189" i="2"/>
  <c r="AT188" i="2"/>
  <c r="AS188" i="2" s="1"/>
  <c r="AR188" i="2" s="1"/>
  <c r="AY188" i="2"/>
  <c r="T190" i="2"/>
  <c r="V190" i="2"/>
  <c r="V188" i="2" s="1"/>
  <c r="AS193" i="2"/>
  <c r="T194" i="2"/>
  <c r="V194" i="2"/>
  <c r="BA195" i="2"/>
  <c r="AZ195" i="2" s="1"/>
  <c r="T200" i="2"/>
  <c r="T197" i="2" s="1"/>
  <c r="V200" i="2"/>
  <c r="AD200" i="2" s="1"/>
  <c r="T201" i="2"/>
  <c r="V201" i="2"/>
  <c r="I197" i="2"/>
  <c r="H197" i="2" s="1"/>
  <c r="H204" i="2"/>
  <c r="L206" i="2"/>
  <c r="AZ212" i="2"/>
  <c r="L215" i="2"/>
  <c r="AQ221" i="2"/>
  <c r="AZ164" i="2"/>
  <c r="BC166" i="2"/>
  <c r="AD175" i="2"/>
  <c r="AV179" i="2"/>
  <c r="V183" i="2"/>
  <c r="Z183" i="2"/>
  <c r="AD183" i="2" s="1"/>
  <c r="AS183" i="2"/>
  <c r="T185" i="2"/>
  <c r="O188" i="2"/>
  <c r="AZ191" i="2"/>
  <c r="AW200" i="2"/>
  <c r="AS208" i="2"/>
  <c r="V209" i="2"/>
  <c r="AU209" i="2"/>
  <c r="BA209" i="2" s="1"/>
  <c r="AE206" i="2"/>
  <c r="AS210" i="2"/>
  <c r="T211" i="2"/>
  <c r="AQ211" i="2"/>
  <c r="AS211" i="2"/>
  <c r="AD181" i="2"/>
  <c r="AW185" i="2"/>
  <c r="AS186" i="2"/>
  <c r="T189" i="2"/>
  <c r="T188" i="2" s="1"/>
  <c r="AH190" i="2"/>
  <c r="V193" i="2"/>
  <c r="AD193" i="2" s="1"/>
  <c r="U208" i="2"/>
  <c r="AW211" i="2"/>
  <c r="BB211" i="2" s="1"/>
  <c r="BC211" i="2" s="1"/>
  <c r="I215" i="2"/>
  <c r="H215" i="2" s="1"/>
  <c r="M215" i="2"/>
  <c r="AW216" i="2"/>
  <c r="V217" i="2"/>
  <c r="Z218" i="2"/>
  <c r="AD218" i="2" s="1"/>
  <c r="AS218" i="2"/>
  <c r="AZ219" i="2"/>
  <c r="V220" i="2"/>
  <c r="AD220" i="2"/>
  <c r="AS221" i="2"/>
  <c r="AS222" i="2"/>
  <c r="V225" i="2"/>
  <c r="AD225" i="2" s="1"/>
  <c r="AF225" i="2"/>
  <c r="AU225" i="2"/>
  <c r="AV230" i="2"/>
  <c r="AQ234" i="2"/>
  <c r="AZ236" i="2"/>
  <c r="AQ238" i="2"/>
  <c r="T243" i="2"/>
  <c r="V243" i="2"/>
  <c r="U242" i="2"/>
  <c r="T244" i="2"/>
  <c r="V244" i="2"/>
  <c r="T253" i="2"/>
  <c r="Y251" i="2"/>
  <c r="AS253" i="2"/>
  <c r="F269" i="2"/>
  <c r="AD219" i="2"/>
  <c r="AW220" i="2"/>
  <c r="AW225" i="2"/>
  <c r="AZ228" i="2"/>
  <c r="AG229" i="2"/>
  <c r="Z237" i="2"/>
  <c r="AD237" i="2" s="1"/>
  <c r="P269" i="2"/>
  <c r="H243" i="2"/>
  <c r="I242" i="2"/>
  <c r="AZ244" i="2"/>
  <c r="AW247" i="2"/>
  <c r="AZ247" i="2"/>
  <c r="T249" i="2"/>
  <c r="V249" i="2"/>
  <c r="AZ249" i="2"/>
  <c r="X269" i="2"/>
  <c r="V184" i="2"/>
  <c r="AD184" i="2" s="1"/>
  <c r="AD185" i="2"/>
  <c r="AD186" i="2"/>
  <c r="AD191" i="2"/>
  <c r="AD192" i="2"/>
  <c r="BC195" i="2"/>
  <c r="AS200" i="2"/>
  <c r="AS197" i="2" s="1"/>
  <c r="T207" i="2"/>
  <c r="T210" i="2"/>
  <c r="V212" i="2"/>
  <c r="AD212" i="2" s="1"/>
  <c r="AW212" i="2"/>
  <c r="BB212" i="2" s="1"/>
  <c r="BA212" i="2" s="1"/>
  <c r="AS213" i="2"/>
  <c r="U215" i="2"/>
  <c r="AX215" i="2"/>
  <c r="AZ216" i="2"/>
  <c r="AZ215" i="2" s="1"/>
  <c r="AY215" i="2" s="1"/>
  <c r="AH217" i="2"/>
  <c r="T218" i="2"/>
  <c r="T215" i="2" s="1"/>
  <c r="AW219" i="2"/>
  <c r="AS220" i="2"/>
  <c r="T221" i="2"/>
  <c r="AW231" i="2"/>
  <c r="AT233" i="2"/>
  <c r="V234" i="2"/>
  <c r="T234" i="2"/>
  <c r="AE233" i="2"/>
  <c r="AZ235" i="2"/>
  <c r="AZ237" i="2"/>
  <c r="T239" i="2"/>
  <c r="V239" i="2"/>
  <c r="AS243" i="2"/>
  <c r="T246" i="2"/>
  <c r="V246" i="2"/>
  <c r="AD246" i="2" s="1"/>
  <c r="AW246" i="2"/>
  <c r="AS252" i="2"/>
  <c r="AS215" i="2"/>
  <c r="AW230" i="2"/>
  <c r="AW234" i="2"/>
  <c r="I233" i="2"/>
  <c r="H235" i="2"/>
  <c r="H233" i="2" s="1"/>
  <c r="T235" i="2"/>
  <c r="V235" i="2"/>
  <c r="AS236" i="2"/>
  <c r="AW238" i="2"/>
  <c r="BB238" i="2" s="1"/>
  <c r="BA238" i="2" s="1"/>
  <c r="T248" i="2"/>
  <c r="V248" i="2"/>
  <c r="AD249" i="2"/>
  <c r="AB269" i="2"/>
  <c r="V226" i="2"/>
  <c r="AD226" i="2" s="1"/>
  <c r="AF226" i="2"/>
  <c r="AU226" i="2"/>
  <c r="BA226" i="2" s="1"/>
  <c r="AZ226" i="2" s="1"/>
  <c r="AG227" i="2"/>
  <c r="AW229" i="2"/>
  <c r="V230" i="2"/>
  <c r="AD230" i="2" s="1"/>
  <c r="AC230" i="2" s="1"/>
  <c r="AS234" i="2"/>
  <c r="AS238" i="2"/>
  <c r="V245" i="2"/>
  <c r="AD245" i="2" s="1"/>
  <c r="AQ245" i="2"/>
  <c r="AD247" i="2"/>
  <c r="AS248" i="2"/>
  <c r="N251" i="2"/>
  <c r="V257" i="2"/>
  <c r="Z257" i="2"/>
  <c r="AD257" i="2" s="1"/>
  <c r="D269" i="2"/>
  <c r="AA269" i="2"/>
  <c r="AO269" i="2"/>
  <c r="AL269" i="2" s="1"/>
  <c r="AR260" i="2"/>
  <c r="AS264" i="2"/>
  <c r="E269" i="2"/>
  <c r="Q269" i="2"/>
  <c r="AP269" i="2"/>
  <c r="AG262" i="2"/>
  <c r="AC262" i="2"/>
  <c r="AS262" i="2"/>
  <c r="T265" i="2"/>
  <c r="V265" i="2"/>
  <c r="U260" i="2"/>
  <c r="C20" i="4"/>
  <c r="AW226" i="2"/>
  <c r="V227" i="2"/>
  <c r="AD227" i="2" s="1"/>
  <c r="AC227" i="2" s="1"/>
  <c r="AU227" i="2"/>
  <c r="V228" i="2"/>
  <c r="AD228" i="2" s="1"/>
  <c r="V231" i="2"/>
  <c r="AD231" i="2" s="1"/>
  <c r="AD244" i="2"/>
  <c r="AS247" i="2"/>
  <c r="AS255" i="2"/>
  <c r="AZ257" i="2"/>
  <c r="AZ251" i="2" s="1"/>
  <c r="W269" i="2"/>
  <c r="Z261" i="2"/>
  <c r="T261" i="2"/>
  <c r="Y260" i="2"/>
  <c r="AZ263" i="2"/>
  <c r="AS265" i="2"/>
  <c r="D389" i="4"/>
  <c r="T256" i="2"/>
  <c r="T251" i="2" s="1"/>
  <c r="V256" i="2"/>
  <c r="V251" i="2" s="1"/>
  <c r="AS257" i="2"/>
  <c r="J269" i="2"/>
  <c r="N269" i="2"/>
  <c r="V263" i="2"/>
  <c r="V260" i="2" s="1"/>
  <c r="T263" i="2"/>
  <c r="V266" i="2"/>
  <c r="AS267" i="2"/>
  <c r="C269" i="2"/>
  <c r="F19" i="4"/>
  <c r="E19" i="4" s="1"/>
  <c r="AS246" i="2"/>
  <c r="AW254" i="2"/>
  <c r="BB254" i="2" s="1"/>
  <c r="BC254" i="2" s="1"/>
  <c r="AS256" i="2"/>
  <c r="AX260" i="2"/>
  <c r="AX269" i="2" s="1"/>
  <c r="AS261" i="2"/>
  <c r="AS260" i="2" s="1"/>
  <c r="AW261" i="2"/>
  <c r="AH262" i="2"/>
  <c r="AD263" i="2"/>
  <c r="Z266" i="2"/>
  <c r="AD266" i="2" s="1"/>
  <c r="AW266" i="2"/>
  <c r="BB266" i="2" s="1"/>
  <c r="AG254" i="2"/>
  <c r="AS254" i="2"/>
  <c r="BC266" i="2"/>
  <c r="BF271" i="2"/>
  <c r="AI271" i="2" s="1"/>
  <c r="K98" i="2"/>
  <c r="H388" i="4"/>
  <c r="H390" i="4" s="1"/>
  <c r="O242" i="2"/>
  <c r="O260" i="2"/>
  <c r="H251" i="2"/>
  <c r="O251" i="2"/>
  <c r="L143" i="2"/>
  <c r="O143" i="2"/>
  <c r="O233" i="2"/>
  <c r="M242" i="2"/>
  <c r="L242" i="2" s="1"/>
  <c r="M251" i="2"/>
  <c r="H260" i="2"/>
  <c r="M266" i="2"/>
  <c r="M143" i="2"/>
  <c r="O170" i="2"/>
  <c r="I53" i="2"/>
  <c r="K53" i="2"/>
  <c r="M170" i="2"/>
  <c r="M233" i="2"/>
  <c r="L233" i="2" s="1"/>
  <c r="I251" i="2"/>
  <c r="K251" i="2"/>
  <c r="I260" i="2"/>
  <c r="I269" i="2" s="1"/>
  <c r="K260" i="2"/>
  <c r="H53" i="2"/>
  <c r="K269" i="2"/>
  <c r="H134" i="2"/>
  <c r="H98" i="2"/>
  <c r="L170" i="2"/>
  <c r="L251" i="2"/>
  <c r="BX298" i="6"/>
  <c r="BV297" i="6"/>
  <c r="BV304" i="6" s="1"/>
  <c r="BT297" i="6"/>
  <c r="BT304" i="6" s="1"/>
  <c r="BR297" i="6"/>
  <c r="BR304" i="6" s="1"/>
  <c r="BO297" i="6"/>
  <c r="BO304" i="6" s="1"/>
  <c r="BM297" i="6"/>
  <c r="BK297" i="6"/>
  <c r="BK304" i="6" s="1"/>
  <c r="BG297" i="6"/>
  <c r="BG304" i="6" s="1"/>
  <c r="BE297" i="6"/>
  <c r="BE304" i="6" s="1"/>
  <c r="BB297" i="6"/>
  <c r="BB304" i="6" s="1"/>
  <c r="AZ297" i="6"/>
  <c r="AZ304" i="6" s="1"/>
  <c r="AX297" i="6"/>
  <c r="AX304" i="6" s="1"/>
  <c r="AV297" i="6"/>
  <c r="AS297" i="6"/>
  <c r="AS304" i="6" s="1"/>
  <c r="AP297" i="6"/>
  <c r="AP304" i="6" s="1"/>
  <c r="AN297" i="6"/>
  <c r="AL297" i="6"/>
  <c r="AL304" i="6" s="1"/>
  <c r="AI297" i="6"/>
  <c r="AI304" i="6" s="1"/>
  <c r="AG297" i="6"/>
  <c r="AE297" i="6"/>
  <c r="AB297" i="6"/>
  <c r="AB304" i="6" s="1"/>
  <c r="Z297" i="6"/>
  <c r="Z304" i="6" s="1"/>
  <c r="W297" i="6"/>
  <c r="W304" i="6" s="1"/>
  <c r="U297" i="6"/>
  <c r="S297" i="6"/>
  <c r="P297" i="6"/>
  <c r="P304" i="6" s="1"/>
  <c r="N297" i="6"/>
  <c r="N304" i="6" s="1"/>
  <c r="L297" i="6"/>
  <c r="I297" i="6"/>
  <c r="I304" i="6" s="1"/>
  <c r="G297" i="6"/>
  <c r="E297" i="6"/>
  <c r="BX296" i="6"/>
  <c r="BX295" i="6"/>
  <c r="AG231" i="2" l="1"/>
  <c r="AC231" i="2"/>
  <c r="AC212" i="2"/>
  <c r="AG212" i="2"/>
  <c r="AG200" i="2"/>
  <c r="AC200" i="2"/>
  <c r="AG148" i="2"/>
  <c r="AC148" i="2"/>
  <c r="AG131" i="2"/>
  <c r="AC131" i="2"/>
  <c r="AC122" i="2"/>
  <c r="AG122" i="2"/>
  <c r="BA121" i="2"/>
  <c r="BC121" i="2"/>
  <c r="AG68" i="2"/>
  <c r="AC68" i="2"/>
  <c r="AG58" i="2"/>
  <c r="AC58" i="2"/>
  <c r="AG87" i="2"/>
  <c r="AC87" i="2"/>
  <c r="AC266" i="2"/>
  <c r="AG266" i="2"/>
  <c r="AG228" i="2"/>
  <c r="AC228" i="2"/>
  <c r="AC184" i="2"/>
  <c r="AG184" i="2"/>
  <c r="AC225" i="2"/>
  <c r="AG225" i="2"/>
  <c r="AD224" i="2"/>
  <c r="AC245" i="2"/>
  <c r="AG245" i="2"/>
  <c r="AC226" i="2"/>
  <c r="AG226" i="2"/>
  <c r="AG246" i="2"/>
  <c r="AC246" i="2"/>
  <c r="AC168" i="2"/>
  <c r="AG168" i="2"/>
  <c r="AC67" i="2"/>
  <c r="AG67" i="2"/>
  <c r="AG28" i="2"/>
  <c r="AC28" i="2"/>
  <c r="AC193" i="2"/>
  <c r="AG193" i="2"/>
  <c r="AC129" i="2"/>
  <c r="AG129" i="2"/>
  <c r="BX297" i="6"/>
  <c r="BX304" i="6" s="1"/>
  <c r="T260" i="2"/>
  <c r="AG186" i="2"/>
  <c r="AC186" i="2"/>
  <c r="AG230" i="2"/>
  <c r="AF224" i="2"/>
  <c r="BB216" i="2"/>
  <c r="H188" i="2"/>
  <c r="AS179" i="2"/>
  <c r="AR179" i="2" s="1"/>
  <c r="AC130" i="2"/>
  <c r="AG130" i="2"/>
  <c r="AG174" i="2"/>
  <c r="AC174" i="2"/>
  <c r="AG121" i="2"/>
  <c r="AC121" i="2"/>
  <c r="BB122" i="2"/>
  <c r="BC122" i="2" s="1"/>
  <c r="V80" i="2"/>
  <c r="BA116" i="2"/>
  <c r="AZ116" i="2" s="1"/>
  <c r="BA72" i="2"/>
  <c r="BC72" i="2"/>
  <c r="AS62" i="2"/>
  <c r="AR62" i="2" s="1"/>
  <c r="AS35" i="2"/>
  <c r="AS53" i="2"/>
  <c r="AZ9" i="2"/>
  <c r="AT8" i="2"/>
  <c r="BA54" i="2"/>
  <c r="BC54" i="2"/>
  <c r="AC263" i="2"/>
  <c r="AG263" i="2"/>
  <c r="BB234" i="2"/>
  <c r="AG185" i="2"/>
  <c r="AC185" i="2"/>
  <c r="T242" i="2"/>
  <c r="V224" i="2"/>
  <c r="AD180" i="2"/>
  <c r="AG158" i="2"/>
  <c r="AC158" i="2"/>
  <c r="AC211" i="2"/>
  <c r="AG211" i="2"/>
  <c r="AD198" i="2"/>
  <c r="AG166" i="2"/>
  <c r="AC166" i="2"/>
  <c r="AD190" i="2"/>
  <c r="AC164" i="2"/>
  <c r="AG164" i="2"/>
  <c r="AC128" i="2"/>
  <c r="AG128" i="2"/>
  <c r="AG137" i="2"/>
  <c r="AC137" i="2"/>
  <c r="AG120" i="2"/>
  <c r="AC120" i="2"/>
  <c r="AG141" i="2"/>
  <c r="AC141" i="2"/>
  <c r="BB144" i="2"/>
  <c r="V134" i="2"/>
  <c r="AG146" i="2"/>
  <c r="AC146" i="2"/>
  <c r="AC86" i="2"/>
  <c r="AG86" i="2"/>
  <c r="AC74" i="2"/>
  <c r="AG74" i="2"/>
  <c r="AC69" i="2"/>
  <c r="AG69" i="2"/>
  <c r="BB27" i="2"/>
  <c r="AG57" i="2"/>
  <c r="AC57" i="2"/>
  <c r="V26" i="2"/>
  <c r="AD27" i="2"/>
  <c r="AG33" i="2"/>
  <c r="AC33" i="2"/>
  <c r="V35" i="2"/>
  <c r="AS9" i="2"/>
  <c r="AS8" i="2" s="1"/>
  <c r="AD261" i="2"/>
  <c r="AG244" i="2"/>
  <c r="AC244" i="2"/>
  <c r="F20" i="4"/>
  <c r="E20" i="4" s="1"/>
  <c r="AC247" i="2"/>
  <c r="AG247" i="2"/>
  <c r="AS251" i="2"/>
  <c r="AG192" i="2"/>
  <c r="AC192" i="2"/>
  <c r="AG237" i="2"/>
  <c r="AC237" i="2"/>
  <c r="V242" i="2"/>
  <c r="AC220" i="2"/>
  <c r="AG220" i="2"/>
  <c r="AG218" i="2"/>
  <c r="AC218" i="2"/>
  <c r="U206" i="2"/>
  <c r="T208" i="2"/>
  <c r="V208" i="2"/>
  <c r="AG183" i="2"/>
  <c r="AC183" i="2"/>
  <c r="V179" i="2"/>
  <c r="AL189" i="2"/>
  <c r="AG155" i="2"/>
  <c r="AC155" i="2"/>
  <c r="V197" i="2"/>
  <c r="BB193" i="2"/>
  <c r="BC193" i="2" s="1"/>
  <c r="BC175" i="2"/>
  <c r="BC180" i="2"/>
  <c r="BA171" i="2"/>
  <c r="BC171" i="2"/>
  <c r="AZ125" i="2"/>
  <c r="AD153" i="2"/>
  <c r="V152" i="2"/>
  <c r="BC123" i="2"/>
  <c r="AC119" i="2"/>
  <c r="AG119" i="2"/>
  <c r="T116" i="2"/>
  <c r="AG100" i="2"/>
  <c r="AC100" i="2"/>
  <c r="AC30" i="2"/>
  <c r="AG30" i="2"/>
  <c r="AD64" i="2"/>
  <c r="AC59" i="2"/>
  <c r="AG59" i="2"/>
  <c r="V44" i="2"/>
  <c r="AD36" i="2"/>
  <c r="H17" i="2"/>
  <c r="AC9" i="2"/>
  <c r="AG9" i="2"/>
  <c r="BB261" i="2"/>
  <c r="AG257" i="2"/>
  <c r="AC257" i="2"/>
  <c r="AS233" i="2"/>
  <c r="AR233" i="2" s="1"/>
  <c r="AG249" i="2"/>
  <c r="AC249" i="2"/>
  <c r="BB246" i="2"/>
  <c r="AS242" i="2"/>
  <c r="AR242" i="2" s="1"/>
  <c r="BC238" i="2"/>
  <c r="AG191" i="2"/>
  <c r="AC191" i="2"/>
  <c r="H242" i="2"/>
  <c r="BB225" i="2"/>
  <c r="AG219" i="2"/>
  <c r="AC219" i="2"/>
  <c r="V215" i="2"/>
  <c r="AG181" i="2"/>
  <c r="AC181" i="2"/>
  <c r="AS209" i="2"/>
  <c r="AC175" i="2"/>
  <c r="AG175" i="2"/>
  <c r="BC212" i="2"/>
  <c r="AS206" i="2"/>
  <c r="AC203" i="2"/>
  <c r="AG203" i="2"/>
  <c r="AG123" i="2"/>
  <c r="AC123" i="2"/>
  <c r="AD82" i="2"/>
  <c r="AG85" i="2"/>
  <c r="AC85" i="2"/>
  <c r="AS98" i="2"/>
  <c r="AC37" i="2"/>
  <c r="AG37" i="2"/>
  <c r="BB63" i="2"/>
  <c r="BB36" i="2"/>
  <c r="AS71" i="2"/>
  <c r="AR71" i="2" s="1"/>
  <c r="AG63" i="2"/>
  <c r="AC63" i="2"/>
  <c r="BA31" i="2"/>
  <c r="AU26" i="2"/>
  <c r="AT26" i="2" s="1"/>
  <c r="AS26" i="2" s="1"/>
  <c r="AR26" i="2" s="1"/>
  <c r="AE8" i="2"/>
  <c r="O269" i="2"/>
  <c r="L266" i="2"/>
  <c r="L260" i="2" s="1"/>
  <c r="L269" i="2" s="1"/>
  <c r="M260" i="2"/>
  <c r="M269" i="2" s="1"/>
  <c r="H269" i="2"/>
  <c r="BX294" i="6"/>
  <c r="BX293" i="6"/>
  <c r="AC82" i="2" l="1"/>
  <c r="AG82" i="2"/>
  <c r="AG36" i="2"/>
  <c r="AC36" i="2"/>
  <c r="BC27" i="2"/>
  <c r="AC190" i="2"/>
  <c r="AG190" i="2"/>
  <c r="AC198" i="2"/>
  <c r="AG198" i="2"/>
  <c r="BA225" i="2"/>
  <c r="BC225" i="2"/>
  <c r="BA144" i="2"/>
  <c r="BC144" i="2"/>
  <c r="BC36" i="2"/>
  <c r="BC261" i="2"/>
  <c r="AG64" i="2"/>
  <c r="AC64" i="2"/>
  <c r="AD208" i="2"/>
  <c r="AG261" i="2"/>
  <c r="AC261" i="2"/>
  <c r="AG180" i="2"/>
  <c r="AC180" i="2"/>
  <c r="AC224" i="2"/>
  <c r="BC63" i="2"/>
  <c r="AG27" i="2"/>
  <c r="AC27" i="2"/>
  <c r="BA246" i="2"/>
  <c r="BC246" i="2"/>
  <c r="AG153" i="2"/>
  <c r="AC153" i="2"/>
  <c r="BA234" i="2"/>
  <c r="BC234" i="2"/>
  <c r="BC216" i="2"/>
  <c r="AG208" i="2" l="1"/>
  <c r="AC208" i="2"/>
  <c r="D292" i="6"/>
  <c r="BV291" i="6"/>
  <c r="BM291" i="6"/>
  <c r="BB291" i="6"/>
  <c r="AP291" i="6"/>
  <c r="AG291" i="6"/>
  <c r="W291" i="6"/>
  <c r="N291" i="6"/>
  <c r="E291" i="6"/>
  <c r="D291" i="6"/>
  <c r="BX290" i="6"/>
  <c r="D290" i="6"/>
  <c r="D289" i="6" s="1"/>
  <c r="D288" i="6" s="1"/>
  <c r="D287" i="6" s="1"/>
  <c r="BX289" i="6"/>
  <c r="BX288" i="6"/>
  <c r="BX287" i="6"/>
  <c r="BV286" i="6"/>
  <c r="BT286" i="6"/>
  <c r="BT291" i="6" s="1"/>
  <c r="BR286" i="6"/>
  <c r="BR291" i="6" s="1"/>
  <c r="BO286" i="6"/>
  <c r="BO291" i="6" s="1"/>
  <c r="BM286" i="6"/>
  <c r="BK286" i="6"/>
  <c r="BK291" i="6" s="1"/>
  <c r="BG286" i="6"/>
  <c r="BG291" i="6" s="1"/>
  <c r="BE286" i="6"/>
  <c r="BE291" i="6" s="1"/>
  <c r="BB286" i="6"/>
  <c r="AZ286" i="6"/>
  <c r="AZ291" i="6" s="1"/>
  <c r="AX286" i="6"/>
  <c r="AX291" i="6" s="1"/>
  <c r="AV286" i="6"/>
  <c r="AS286" i="6"/>
  <c r="AS291" i="6" s="1"/>
  <c r="AP286" i="6"/>
  <c r="AN286" i="6"/>
  <c r="AN291" i="6" s="1"/>
  <c r="AL286" i="6"/>
  <c r="AL291" i="6" s="1"/>
  <c r="AI286" i="6"/>
  <c r="AI291" i="6" s="1"/>
  <c r="AG286" i="6"/>
  <c r="AE286" i="6"/>
  <c r="AE291" i="6" s="1"/>
  <c r="AB286" i="6"/>
  <c r="AB291" i="6" s="1"/>
  <c r="Z286" i="6"/>
  <c r="Z291" i="6" s="1"/>
  <c r="W286" i="6"/>
  <c r="U286" i="6"/>
  <c r="U291" i="6" s="1"/>
  <c r="S286" i="6"/>
  <c r="S291" i="6" s="1"/>
  <c r="P286" i="6"/>
  <c r="P291" i="6" s="1"/>
  <c r="N286" i="6"/>
  <c r="L286" i="6"/>
  <c r="L291" i="6" s="1"/>
  <c r="I286" i="6"/>
  <c r="I291" i="6" s="1"/>
  <c r="G286" i="6"/>
  <c r="G291" i="6" s="1"/>
  <c r="E286" i="6"/>
  <c r="BX285" i="6"/>
  <c r="BX284" i="6"/>
  <c r="BX286" i="6" l="1"/>
  <c r="D286" i="6"/>
  <c r="D285" i="6" s="1"/>
  <c r="D284" i="6" s="1"/>
  <c r="BX291" i="6"/>
  <c r="D283" i="6" l="1"/>
  <c r="BV282" i="6"/>
  <c r="BT282" i="6"/>
  <c r="BR282" i="6"/>
  <c r="BO282" i="6"/>
  <c r="BM282" i="6"/>
  <c r="BK282" i="6"/>
  <c r="BG282" i="6"/>
  <c r="BE282" i="6"/>
  <c r="BB282" i="6"/>
  <c r="AZ282" i="6"/>
  <c r="AX282" i="6"/>
  <c r="AS282" i="6"/>
  <c r="AP282" i="6"/>
  <c r="AN282" i="6"/>
  <c r="AL282" i="6"/>
  <c r="AI282" i="6"/>
  <c r="AG282" i="6"/>
  <c r="AE282" i="6"/>
  <c r="AB282" i="6"/>
  <c r="Z282" i="6"/>
  <c r="W282" i="6"/>
  <c r="U282" i="6"/>
  <c r="S282" i="6"/>
  <c r="P282" i="6"/>
  <c r="N282" i="6"/>
  <c r="L282" i="6"/>
  <c r="I282" i="6"/>
  <c r="G282" i="6"/>
  <c r="E282" i="6"/>
  <c r="D282" i="6"/>
  <c r="D281" i="6"/>
  <c r="D280" i="6"/>
  <c r="D279" i="6" s="1"/>
  <c r="D278" i="6" s="1"/>
  <c r="BX279" i="6"/>
  <c r="BX278" i="6"/>
  <c r="BX277" i="6"/>
  <c r="D277" i="6" l="1"/>
  <c r="BX276" i="6"/>
  <c r="D276" i="6"/>
  <c r="BX275" i="6"/>
  <c r="D275" i="6"/>
  <c r="BX274" i="6"/>
  <c r="D274" i="6"/>
  <c r="BX273" i="6"/>
  <c r="D273" i="6" l="1"/>
  <c r="BX272" i="6"/>
  <c r="D272" i="6"/>
  <c r="BX271" i="6"/>
  <c r="D271" i="6" l="1"/>
  <c r="BX270" i="6"/>
  <c r="D270" i="6"/>
  <c r="D269" i="6" s="1"/>
  <c r="D268" i="6" s="1"/>
  <c r="D267" i="6" s="1"/>
  <c r="D266" i="6" s="1"/>
  <c r="D265" i="6" s="1"/>
  <c r="D264" i="6" s="1"/>
  <c r="D263" i="6" s="1"/>
  <c r="D262" i="6" s="1"/>
  <c r="D261" i="6" s="1"/>
  <c r="D260" i="6" s="1"/>
  <c r="D259" i="6" s="1"/>
  <c r="D258" i="6" s="1"/>
  <c r="D257" i="6" s="1"/>
  <c r="D256" i="6" s="1"/>
  <c r="BX269" i="6"/>
  <c r="BX268" i="6"/>
  <c r="BX267" i="6"/>
  <c r="BX266" i="6"/>
  <c r="BX265" i="6"/>
  <c r="BX264" i="6"/>
  <c r="BX263" i="6"/>
  <c r="BX262" i="6"/>
  <c r="BX261" i="6"/>
  <c r="BX260" i="6"/>
  <c r="BX259" i="6"/>
  <c r="BX258" i="6"/>
  <c r="BX257" i="6"/>
  <c r="BX256" i="6"/>
  <c r="BX255" i="6"/>
  <c r="D255" i="6" l="1"/>
  <c r="BX254" i="6"/>
  <c r="D254" i="6"/>
  <c r="BX253" i="6"/>
  <c r="D253" i="6"/>
  <c r="BX252" i="6"/>
  <c r="D252" i="6"/>
  <c r="BX251" i="6"/>
  <c r="D251" i="6"/>
  <c r="BX250" i="6"/>
  <c r="D250" i="6"/>
  <c r="BX249" i="6"/>
  <c r="D249" i="6"/>
  <c r="BX248" i="6"/>
  <c r="D248" i="6"/>
  <c r="BX247" i="6"/>
  <c r="D247" i="6" l="1"/>
  <c r="BX246" i="6"/>
  <c r="D246" i="6"/>
  <c r="D245" i="6" s="1"/>
  <c r="D244" i="6" s="1"/>
  <c r="BX245" i="6"/>
  <c r="BX244" i="6"/>
  <c r="BX243" i="6"/>
  <c r="D243" i="6" l="1"/>
  <c r="BX242" i="6"/>
  <c r="D242" i="6"/>
  <c r="BX241" i="6"/>
  <c r="D241" i="6" l="1"/>
  <c r="BX240" i="6"/>
  <c r="D240" i="6"/>
  <c r="D239" i="6" s="1"/>
  <c r="D238" i="6" s="1"/>
  <c r="D237" i="6" s="1"/>
  <c r="BX239" i="6"/>
  <c r="BX238" i="6"/>
  <c r="BX237" i="6"/>
  <c r="BX236" i="6"/>
  <c r="D236" i="6" l="1"/>
  <c r="BX235" i="6"/>
  <c r="D235" i="6"/>
  <c r="BX234" i="6"/>
  <c r="D234" i="6"/>
  <c r="BX233" i="6"/>
  <c r="D233" i="6"/>
  <c r="BX232" i="6"/>
  <c r="D232" i="6"/>
  <c r="BX231" i="6"/>
  <c r="D231" i="6" l="1"/>
  <c r="BX230" i="6"/>
  <c r="D230" i="6"/>
  <c r="D229" i="6" s="1"/>
  <c r="BX229" i="6"/>
  <c r="BX228" i="6"/>
  <c r="D228" i="6" l="1"/>
  <c r="BX227" i="6"/>
  <c r="D227" i="6"/>
  <c r="D226" i="6" s="1"/>
  <c r="BX226" i="6"/>
  <c r="BX225" i="6"/>
  <c r="D225" i="6" l="1"/>
  <c r="BX224" i="6"/>
  <c r="D224" i="6"/>
  <c r="D223" i="6" s="1"/>
  <c r="BX223" i="6"/>
  <c r="BX222" i="6"/>
  <c r="D222" i="6" l="1"/>
  <c r="BX221" i="6"/>
  <c r="D221" i="6" l="1"/>
  <c r="BX220" i="6"/>
  <c r="D220" i="6" l="1"/>
  <c r="BX219" i="6"/>
  <c r="D219" i="6" l="1"/>
  <c r="BX218" i="6"/>
  <c r="D218" i="6"/>
  <c r="BX217" i="6"/>
  <c r="D217" i="6" l="1"/>
  <c r="BX216" i="6"/>
  <c r="D216" i="6"/>
  <c r="BX215" i="6"/>
  <c r="D215" i="6" l="1"/>
  <c r="BX214" i="6"/>
  <c r="D214" i="6"/>
  <c r="BX213" i="6" l="1"/>
  <c r="BX282" i="6" s="1"/>
  <c r="D213" i="6"/>
  <c r="D212" i="6" s="1"/>
  <c r="D211" i="6" s="1"/>
  <c r="D210" i="6" s="1"/>
  <c r="BX210" i="6"/>
  <c r="CA282" i="6" l="1"/>
  <c r="BX209" i="6"/>
  <c r="D209" i="6"/>
  <c r="BV208" i="6"/>
  <c r="BT208" i="6"/>
  <c r="BR208" i="6"/>
  <c r="BO208" i="6"/>
  <c r="BM208" i="6"/>
  <c r="BK208" i="6"/>
  <c r="BG208" i="6"/>
  <c r="BE208" i="6"/>
  <c r="BB208" i="6"/>
  <c r="AZ208" i="6"/>
  <c r="AX208" i="6"/>
  <c r="AV208" i="6"/>
  <c r="AS208" i="6"/>
  <c r="AP208" i="6"/>
  <c r="AN208" i="6"/>
  <c r="AL208" i="6"/>
  <c r="AI208" i="6"/>
  <c r="AG208" i="6"/>
  <c r="AE208" i="6"/>
  <c r="AB208" i="6"/>
  <c r="Z208" i="6"/>
  <c r="W208" i="6"/>
  <c r="U208" i="6"/>
  <c r="S208" i="6"/>
  <c r="P208" i="6" l="1"/>
  <c r="N208" i="6"/>
  <c r="L208" i="6"/>
  <c r="I208" i="6"/>
  <c r="G208" i="6"/>
  <c r="E208" i="6"/>
  <c r="D208" i="6"/>
  <c r="D207" i="6" s="1"/>
  <c r="BX207" i="6"/>
  <c r="BX206" i="6" l="1"/>
  <c r="BX208" i="6" s="1"/>
  <c r="D206" i="6" l="1"/>
  <c r="D205" i="6" s="1"/>
  <c r="BX205" i="6"/>
  <c r="BX204" i="6"/>
  <c r="D204" i="6" l="1"/>
  <c r="BV203" i="6"/>
  <c r="BV211" i="6" s="1"/>
  <c r="BT203" i="6"/>
  <c r="BT211" i="6" s="1"/>
  <c r="BR203" i="6"/>
  <c r="BR211" i="6" s="1"/>
  <c r="BO203" i="6"/>
  <c r="BO211" i="6" s="1"/>
  <c r="BM203" i="6"/>
  <c r="BM211" i="6" s="1"/>
  <c r="BK203" i="6"/>
  <c r="BK211" i="6" s="1"/>
  <c r="BG203" i="6"/>
  <c r="BG211" i="6" s="1"/>
  <c r="BE203" i="6"/>
  <c r="BE211" i="6" s="1"/>
  <c r="BB203" i="6"/>
  <c r="BB211" i="6" s="1"/>
  <c r="AZ203" i="6"/>
  <c r="AZ211" i="6" s="1"/>
  <c r="AX203" i="6"/>
  <c r="AX211" i="6" s="1"/>
  <c r="AV203" i="6" l="1"/>
  <c r="AS203" i="6"/>
  <c r="AS211" i="6" s="1"/>
  <c r="AP203" i="6"/>
  <c r="AP211" i="6" s="1"/>
  <c r="AN203" i="6"/>
  <c r="AN211" i="6" s="1"/>
  <c r="AL203" i="6"/>
  <c r="AL211" i="6" s="1"/>
  <c r="AI203" i="6"/>
  <c r="AI211" i="6" s="1"/>
  <c r="AG203" i="6"/>
  <c r="AG211" i="6" s="1"/>
  <c r="AE203" i="6"/>
  <c r="AE211" i="6" s="1"/>
  <c r="AB203" i="6"/>
  <c r="AB211" i="6" s="1"/>
  <c r="Z203" i="6"/>
  <c r="Z211" i="6" s="1"/>
  <c r="W203" i="6" l="1"/>
  <c r="W211" i="6" s="1"/>
  <c r="U203" i="6"/>
  <c r="U211" i="6" s="1"/>
  <c r="S203" i="6"/>
  <c r="S211" i="6" s="1"/>
  <c r="P203" i="6"/>
  <c r="P211" i="6" s="1"/>
  <c r="N203" i="6"/>
  <c r="N211" i="6" s="1"/>
  <c r="L203" i="6"/>
  <c r="L211" i="6" s="1"/>
  <c r="I203" i="6"/>
  <c r="I211" i="6" s="1"/>
  <c r="G203" i="6"/>
  <c r="G211" i="6" s="1"/>
  <c r="E203" i="6"/>
  <c r="E211" i="6" s="1"/>
  <c r="D203" i="6"/>
  <c r="BX202" i="6"/>
  <c r="D202" i="6"/>
  <c r="BX201" i="6"/>
  <c r="BX203" i="6" s="1"/>
  <c r="BX211" i="6" s="1"/>
  <c r="D201" i="6" l="1"/>
  <c r="D200" i="6" s="1"/>
  <c r="BY198" i="6"/>
  <c r="BX198" i="6"/>
  <c r="BY197" i="6"/>
  <c r="BX197" i="6"/>
  <c r="BY196" i="6"/>
  <c r="BX196" i="6"/>
  <c r="BY195" i="6" l="1"/>
  <c r="BX195" i="6"/>
  <c r="BY194" i="6" l="1"/>
  <c r="BX194" i="6"/>
  <c r="BV194" i="6"/>
  <c r="BT194" i="6"/>
  <c r="BR194" i="6"/>
  <c r="BK194" i="6"/>
  <c r="BG194" i="6" l="1"/>
  <c r="BE194" i="6"/>
  <c r="AX194" i="6"/>
  <c r="AV194" i="6"/>
  <c r="AP194" i="6"/>
  <c r="AN194" i="6"/>
  <c r="AL194" i="6"/>
  <c r="W194" i="6"/>
  <c r="U194" i="6"/>
  <c r="S194" i="6"/>
  <c r="P194" i="6"/>
  <c r="N194" i="6"/>
  <c r="L194" i="6"/>
  <c r="BV193" i="6"/>
  <c r="BT193" i="6"/>
  <c r="BR193" i="6"/>
  <c r="BO193" i="6"/>
  <c r="BM193" i="6"/>
  <c r="BK193" i="6"/>
  <c r="BG193" i="6"/>
  <c r="BE193" i="6"/>
  <c r="BB193" i="6"/>
  <c r="AZ193" i="6"/>
  <c r="AX193" i="6"/>
  <c r="AV193" i="6"/>
  <c r="AS193" i="6"/>
  <c r="AP193" i="6"/>
  <c r="AN193" i="6"/>
  <c r="AL193" i="6"/>
  <c r="AI193" i="6"/>
  <c r="AG193" i="6"/>
  <c r="AE193" i="6"/>
  <c r="AB193" i="6"/>
  <c r="Z193" i="6"/>
  <c r="W193" i="6"/>
  <c r="U193" i="6"/>
  <c r="S193" i="6"/>
  <c r="P193" i="6"/>
  <c r="N193" i="6"/>
  <c r="L193" i="6"/>
  <c r="I193" i="6"/>
  <c r="G193" i="6"/>
  <c r="E193" i="6"/>
  <c r="BY192" i="6"/>
  <c r="BX192" i="6"/>
  <c r="BY191" i="6"/>
  <c r="BX191" i="6"/>
  <c r="BX193" i="6" s="1"/>
  <c r="BO190" i="6" l="1"/>
  <c r="BM190" i="6"/>
  <c r="AS190" i="6" l="1"/>
  <c r="AI190" i="6" l="1"/>
  <c r="AG190" i="6"/>
  <c r="AE190" i="6"/>
  <c r="AB190" i="6"/>
  <c r="Z190" i="6"/>
  <c r="I190" i="6"/>
  <c r="G190" i="6"/>
  <c r="E190" i="6"/>
  <c r="BY189" i="6"/>
  <c r="BX189" i="6"/>
  <c r="BY188" i="6"/>
  <c r="BX188" i="6" s="1"/>
  <c r="BV188" i="6"/>
  <c r="BV190" i="6" s="1"/>
  <c r="BT188" i="6"/>
  <c r="BT190" i="6" s="1"/>
  <c r="BR188" i="6"/>
  <c r="BR190" i="6" s="1"/>
  <c r="BK188" i="6"/>
  <c r="BK190" i="6" s="1"/>
  <c r="BG188" i="6"/>
  <c r="BG190" i="6" s="1"/>
  <c r="BE188" i="6"/>
  <c r="BE190" i="6" s="1"/>
  <c r="BB188" i="6"/>
  <c r="BB190" i="6" s="1"/>
  <c r="AZ188" i="6"/>
  <c r="AZ190" i="6" s="1"/>
  <c r="AX188" i="6"/>
  <c r="AX190" i="6" s="1"/>
  <c r="AV188" i="6"/>
  <c r="AV190" i="6" s="1"/>
  <c r="AP188" i="6"/>
  <c r="AP190" i="6" s="1"/>
  <c r="AN188" i="6"/>
  <c r="AN190" i="6" s="1"/>
  <c r="AL188" i="6"/>
  <c r="AL190" i="6" s="1"/>
  <c r="W188" i="6"/>
  <c r="W190" i="6" s="1"/>
  <c r="U188" i="6"/>
  <c r="U190" i="6" s="1"/>
  <c r="S188" i="6"/>
  <c r="S190" i="6" s="1"/>
  <c r="P188" i="6"/>
  <c r="P190" i="6" s="1"/>
  <c r="N188" i="6"/>
  <c r="N190" i="6" s="1"/>
  <c r="L188" i="6"/>
  <c r="L190" i="6" s="1"/>
  <c r="BV187" i="6"/>
  <c r="BT187" i="6"/>
  <c r="BR187" i="6"/>
  <c r="BV199" i="6" l="1"/>
  <c r="BK199" i="6"/>
  <c r="BR199" i="6"/>
  <c r="BT199" i="6"/>
  <c r="BO187" i="6"/>
  <c r="BO199" i="6" s="1"/>
  <c r="BM187" i="6"/>
  <c r="BM199" i="6" s="1"/>
  <c r="BK187" i="6"/>
  <c r="BG187" i="6" l="1"/>
  <c r="BG199" i="6" s="1"/>
  <c r="BE187" i="6"/>
  <c r="BE199" i="6" s="1"/>
  <c r="BB187" i="6"/>
  <c r="BB199" i="6" s="1"/>
  <c r="AZ187" i="6"/>
  <c r="AZ199" i="6" s="1"/>
  <c r="AX187" i="6"/>
  <c r="AX199" i="6" s="1"/>
  <c r="AV187" i="6"/>
  <c r="AS187" i="6"/>
  <c r="AS199" i="6" s="1"/>
  <c r="AP187" i="6"/>
  <c r="AP199" i="6" s="1"/>
  <c r="AN187" i="6"/>
  <c r="AN199" i="6" s="1"/>
  <c r="AL187" i="6"/>
  <c r="AL199" i="6" s="1"/>
  <c r="AI187" i="6"/>
  <c r="AI199" i="6" s="1"/>
  <c r="AG187" i="6"/>
  <c r="AG199" i="6" s="1"/>
  <c r="AE187" i="6"/>
  <c r="AE199" i="6" s="1"/>
  <c r="AB187" i="6"/>
  <c r="AB199" i="6" s="1"/>
  <c r="Z187" i="6"/>
  <c r="Z199" i="6" s="1"/>
  <c r="W187" i="6"/>
  <c r="W199" i="6" s="1"/>
  <c r="U187" i="6"/>
  <c r="U199" i="6" s="1"/>
  <c r="S187" i="6"/>
  <c r="S199" i="6" s="1"/>
  <c r="P187" i="6"/>
  <c r="P199" i="6" s="1"/>
  <c r="N187" i="6"/>
  <c r="N199" i="6" s="1"/>
  <c r="L187" i="6"/>
  <c r="L199" i="6" s="1"/>
  <c r="I187" i="6"/>
  <c r="I199" i="6" s="1"/>
  <c r="G187" i="6"/>
  <c r="G199" i="6" s="1"/>
  <c r="E187" i="6"/>
  <c r="E199" i="6" s="1"/>
  <c r="D199" i="6" s="1"/>
  <c r="D198" i="6" s="1"/>
  <c r="D197" i="6" s="1"/>
  <c r="D196" i="6" s="1"/>
  <c r="D195" i="6" s="1"/>
  <c r="D194" i="6" s="1"/>
  <c r="D193" i="6" s="1"/>
  <c r="D192" i="6" s="1"/>
  <c r="D191" i="6" s="1"/>
  <c r="BY186" i="6"/>
  <c r="BX186" i="6" s="1"/>
  <c r="BX190" i="6" l="1"/>
  <c r="D190" i="6"/>
  <c r="D189" i="6" s="1"/>
  <c r="D188" i="6" s="1"/>
  <c r="BY185" i="6"/>
  <c r="BX185" i="6"/>
  <c r="D187" i="6" l="1"/>
  <c r="D186" i="6" s="1"/>
  <c r="D185" i="6" s="1"/>
  <c r="D184" i="6" s="1"/>
  <c r="BY184" i="6"/>
  <c r="BX184" i="6"/>
  <c r="BX187" i="6" s="1"/>
  <c r="BX199" i="6" s="1"/>
  <c r="D183" i="6" l="1"/>
  <c r="AV182" i="6"/>
  <c r="D182" i="6"/>
  <c r="BV181" i="6"/>
  <c r="BV182" i="6" s="1"/>
  <c r="BT181" i="6"/>
  <c r="BT182" i="6" s="1"/>
  <c r="BR181" i="6"/>
  <c r="BR182" i="6" s="1"/>
  <c r="BO181" i="6"/>
  <c r="BO182" i="6" s="1"/>
  <c r="BM181" i="6"/>
  <c r="BM182" i="6" s="1"/>
  <c r="BK181" i="6"/>
  <c r="BK182" i="6" s="1"/>
  <c r="BG181" i="6"/>
  <c r="BG182" i="6" s="1"/>
  <c r="BE181" i="6"/>
  <c r="BE182" i="6" s="1"/>
  <c r="BB181" i="6"/>
  <c r="BB182" i="6" s="1"/>
  <c r="AZ181" i="6"/>
  <c r="AZ182" i="6" s="1"/>
  <c r="AX181" i="6"/>
  <c r="AX182" i="6" s="1"/>
  <c r="AV181" i="6"/>
  <c r="AS181" i="6" l="1"/>
  <c r="AS182" i="6" s="1"/>
  <c r="AP181" i="6"/>
  <c r="AP182" i="6" s="1"/>
  <c r="AN181" i="6"/>
  <c r="AN182" i="6" s="1"/>
  <c r="AL181" i="6"/>
  <c r="AL182" i="6" s="1"/>
  <c r="AI181" i="6"/>
  <c r="AI182" i="6" s="1"/>
  <c r="AG181" i="6"/>
  <c r="AG182" i="6" s="1"/>
  <c r="AE181" i="6"/>
  <c r="AE182" i="6" s="1"/>
  <c r="AB181" i="6"/>
  <c r="AB182" i="6" s="1"/>
  <c r="Z181" i="6"/>
  <c r="Z182" i="6" s="1"/>
  <c r="W181" i="6"/>
  <c r="W182" i="6" s="1"/>
  <c r="U181" i="6"/>
  <c r="U182" i="6" s="1"/>
  <c r="S181" i="6"/>
  <c r="S182" i="6" s="1"/>
  <c r="P181" i="6"/>
  <c r="P182" i="6" s="1"/>
  <c r="N181" i="6"/>
  <c r="N182" i="6" s="1"/>
  <c r="L181" i="6"/>
  <c r="L182" i="6" s="1"/>
  <c r="I181" i="6"/>
  <c r="I182" i="6" s="1"/>
  <c r="G181" i="6"/>
  <c r="G182" i="6" s="1"/>
  <c r="E181" i="6"/>
  <c r="BX180" i="6"/>
  <c r="BX179" i="6"/>
  <c r="BX178" i="6"/>
  <c r="BX181" i="6" s="1"/>
  <c r="BX182" i="6" s="1"/>
  <c r="D181" i="6" l="1"/>
  <c r="D180" i="6" s="1"/>
  <c r="D179" i="6" s="1"/>
  <c r="E182" i="6"/>
  <c r="D178" i="6"/>
  <c r="BX177" i="6"/>
  <c r="D177" i="6" l="1"/>
  <c r="AV176" i="6"/>
  <c r="D176" i="6"/>
  <c r="BV175" i="6"/>
  <c r="BV176" i="6" s="1"/>
  <c r="BT175" i="6"/>
  <c r="BT176" i="6" s="1"/>
  <c r="BR175" i="6"/>
  <c r="BR176" i="6" s="1"/>
  <c r="BO175" i="6"/>
  <c r="BO176" i="6" s="1"/>
  <c r="BM175" i="6"/>
  <c r="BM176" i="6" s="1"/>
  <c r="BK175" i="6"/>
  <c r="BK176" i="6" s="1"/>
  <c r="BG175" i="6"/>
  <c r="BG176" i="6" s="1"/>
  <c r="BE175" i="6"/>
  <c r="BE176" i="6" s="1"/>
  <c r="BB175" i="6"/>
  <c r="BB176" i="6" s="1"/>
  <c r="AZ175" i="6"/>
  <c r="AZ176" i="6" s="1"/>
  <c r="AX175" i="6"/>
  <c r="AX176" i="6" s="1"/>
  <c r="AV175" i="6"/>
  <c r="AS175" i="6"/>
  <c r="AS176" i="6" s="1"/>
  <c r="AP175" i="6"/>
  <c r="AP176" i="6" s="1"/>
  <c r="AN175" i="6"/>
  <c r="AN176" i="6" s="1"/>
  <c r="AL175" i="6"/>
  <c r="AL176" i="6" s="1"/>
  <c r="AI175" i="6"/>
  <c r="AI176" i="6" s="1"/>
  <c r="AG175" i="6"/>
  <c r="AG176" i="6" s="1"/>
  <c r="AE175" i="6"/>
  <c r="AE176" i="6" s="1"/>
  <c r="AB175" i="6"/>
  <c r="AB176" i="6" s="1"/>
  <c r="Z175" i="6"/>
  <c r="Z176" i="6" s="1"/>
  <c r="W175" i="6"/>
  <c r="W176" i="6" s="1"/>
  <c r="U175" i="6"/>
  <c r="U176" i="6" s="1"/>
  <c r="S175" i="6"/>
  <c r="S176" i="6" s="1"/>
  <c r="P175" i="6"/>
  <c r="P176" i="6" s="1"/>
  <c r="N175" i="6"/>
  <c r="N176" i="6" s="1"/>
  <c r="L175" i="6"/>
  <c r="L176" i="6" s="1"/>
  <c r="I175" i="6"/>
  <c r="I176" i="6" s="1"/>
  <c r="G175" i="6"/>
  <c r="G176" i="6" s="1"/>
  <c r="E175" i="6"/>
  <c r="D175" i="6" s="1"/>
  <c r="D174" i="6" s="1"/>
  <c r="BX174" i="6"/>
  <c r="BX173" i="6"/>
  <c r="E176" i="6" l="1"/>
  <c r="D173" i="6"/>
  <c r="D172" i="6" s="1"/>
  <c r="BX172" i="6"/>
  <c r="BX175" i="6" s="1"/>
  <c r="BX176" i="6" s="1"/>
  <c r="D171" i="6" l="1"/>
  <c r="AV170" i="6"/>
  <c r="D170" i="6"/>
  <c r="BV169" i="6"/>
  <c r="BV170" i="6" s="1"/>
  <c r="BT169" i="6"/>
  <c r="BT170" i="6" s="1"/>
  <c r="BR169" i="6"/>
  <c r="BR170" i="6" s="1"/>
  <c r="BO169" i="6"/>
  <c r="BO170" i="6" s="1"/>
  <c r="BM169" i="6"/>
  <c r="BM170" i="6" s="1"/>
  <c r="BK169" i="6"/>
  <c r="BK170" i="6" s="1"/>
  <c r="BG169" i="6"/>
  <c r="BG170" i="6" s="1"/>
  <c r="BE169" i="6"/>
  <c r="BE170" i="6" s="1"/>
  <c r="BB169" i="6" l="1"/>
  <c r="BB170" i="6" s="1"/>
  <c r="AZ169" i="6"/>
  <c r="AZ170" i="6" s="1"/>
  <c r="AX169" i="6"/>
  <c r="AX170" i="6" s="1"/>
  <c r="AV169" i="6"/>
  <c r="AS169" i="6"/>
  <c r="AS170" i="6" s="1"/>
  <c r="AP169" i="6"/>
  <c r="AP170" i="6" s="1"/>
  <c r="AN169" i="6"/>
  <c r="AN170" i="6" s="1"/>
  <c r="AL169" i="6"/>
  <c r="AL170" i="6" s="1"/>
  <c r="AI169" i="6"/>
  <c r="AI170" i="6" s="1"/>
  <c r="AG169" i="6"/>
  <c r="AG170" i="6" s="1"/>
  <c r="AE169" i="6"/>
  <c r="AE170" i="6" s="1"/>
  <c r="AB169" i="6"/>
  <c r="AB170" i="6" s="1"/>
  <c r="Z169" i="6"/>
  <c r="Z170" i="6" s="1"/>
  <c r="W169" i="6"/>
  <c r="W170" i="6" s="1"/>
  <c r="U169" i="6"/>
  <c r="U170" i="6" s="1"/>
  <c r="S169" i="6"/>
  <c r="S170" i="6" s="1"/>
  <c r="P169" i="6"/>
  <c r="P170" i="6" s="1"/>
  <c r="N169" i="6"/>
  <c r="N170" i="6" s="1"/>
  <c r="L169" i="6"/>
  <c r="L170" i="6" s="1"/>
  <c r="I169" i="6"/>
  <c r="I170" i="6" s="1"/>
  <c r="G169" i="6"/>
  <c r="G170" i="6" s="1"/>
  <c r="E169" i="6"/>
  <c r="BX168" i="6"/>
  <c r="D169" i="6" l="1"/>
  <c r="E170" i="6"/>
  <c r="D168" i="6"/>
  <c r="BX167" i="6" l="1"/>
  <c r="BX169" i="6" s="1"/>
  <c r="BX170" i="6" s="1"/>
  <c r="D167" i="6" l="1"/>
  <c r="D166" i="6" l="1"/>
  <c r="AV165" i="6"/>
  <c r="D165" i="6"/>
  <c r="BV164" i="6"/>
  <c r="BV165" i="6" s="1"/>
  <c r="BT164" i="6"/>
  <c r="BT165" i="6" s="1"/>
  <c r="BR164" i="6"/>
  <c r="BR165" i="6" s="1"/>
  <c r="BO164" i="6"/>
  <c r="BO165" i="6" s="1"/>
  <c r="BM164" i="6"/>
  <c r="BM165" i="6" s="1"/>
  <c r="BK164" i="6"/>
  <c r="BK165" i="6" s="1"/>
  <c r="BG164" i="6"/>
  <c r="BG165" i="6" s="1"/>
  <c r="BE164" i="6"/>
  <c r="BE165" i="6" s="1"/>
  <c r="BB164" i="6"/>
  <c r="BB165" i="6" s="1"/>
  <c r="AZ164" i="6"/>
  <c r="AZ165" i="6" s="1"/>
  <c r="AX164" i="6"/>
  <c r="AX165" i="6" s="1"/>
  <c r="AV164" i="6"/>
  <c r="AS164" i="6"/>
  <c r="AS165" i="6" s="1"/>
  <c r="AP164" i="6"/>
  <c r="AP165" i="6" s="1"/>
  <c r="AN164" i="6"/>
  <c r="AN165" i="6" s="1"/>
  <c r="AL164" i="6"/>
  <c r="AL165" i="6" s="1"/>
  <c r="AI164" i="6"/>
  <c r="AI165" i="6" s="1"/>
  <c r="AG164" i="6"/>
  <c r="AG165" i="6" s="1"/>
  <c r="AE164" i="6"/>
  <c r="AE165" i="6" s="1"/>
  <c r="AB164" i="6"/>
  <c r="AB165" i="6" s="1"/>
  <c r="Z164" i="6"/>
  <c r="Z165" i="6" s="1"/>
  <c r="W164" i="6"/>
  <c r="W165" i="6" s="1"/>
  <c r="U164" i="6"/>
  <c r="U165" i="6" s="1"/>
  <c r="S164" i="6"/>
  <c r="S165" i="6" s="1"/>
  <c r="P164" i="6"/>
  <c r="P165" i="6" s="1"/>
  <c r="N164" i="6"/>
  <c r="N165" i="6" s="1"/>
  <c r="L164" i="6"/>
  <c r="L165" i="6" s="1"/>
  <c r="I164" i="6"/>
  <c r="I165" i="6" s="1"/>
  <c r="G164" i="6"/>
  <c r="G165" i="6" s="1"/>
  <c r="E164" i="6"/>
  <c r="D164" i="6" s="1"/>
  <c r="D163" i="6" s="1"/>
  <c r="BX163" i="6"/>
  <c r="BX162" i="6"/>
  <c r="E165" i="6" l="1"/>
  <c r="D162" i="6"/>
  <c r="BX161" i="6"/>
  <c r="BX164" i="6" s="1"/>
  <c r="BX165" i="6" s="1"/>
  <c r="D161" i="6" l="1"/>
  <c r="D160" i="6"/>
  <c r="BV159" i="6"/>
  <c r="BT159" i="6"/>
  <c r="BR159" i="6"/>
  <c r="BO159" i="6"/>
  <c r="BM159" i="6"/>
  <c r="BK159" i="6"/>
  <c r="BG159" i="6"/>
  <c r="BE159" i="6"/>
  <c r="BB159" i="6"/>
  <c r="AZ159" i="6"/>
  <c r="AX159" i="6"/>
  <c r="AS159" i="6"/>
  <c r="AP159" i="6"/>
  <c r="AN159" i="6"/>
  <c r="AL159" i="6"/>
  <c r="AI159" i="6"/>
  <c r="AG159" i="6"/>
  <c r="AE159" i="6"/>
  <c r="AB159" i="6"/>
  <c r="Z159" i="6"/>
  <c r="W159" i="6"/>
  <c r="U159" i="6"/>
  <c r="S159" i="6"/>
  <c r="P159" i="6"/>
  <c r="N159" i="6"/>
  <c r="L159" i="6"/>
  <c r="I159" i="6"/>
  <c r="G159" i="6"/>
  <c r="E159" i="6"/>
  <c r="D159" i="6" s="1"/>
  <c r="BX158" i="6"/>
  <c r="BX159" i="6" s="1"/>
  <c r="D158" i="6"/>
  <c r="BX157" i="6"/>
  <c r="AV157" i="6" l="1"/>
  <c r="D157" i="6" l="1"/>
  <c r="D156" i="6"/>
  <c r="AV155" i="6"/>
  <c r="D155" i="6"/>
  <c r="BV154" i="6"/>
  <c r="BV155" i="6" s="1"/>
  <c r="BT154" i="6"/>
  <c r="BT155" i="6" s="1"/>
  <c r="BR154" i="6"/>
  <c r="BR155" i="6" s="1"/>
  <c r="BO154" i="6"/>
  <c r="BO155" i="6" s="1"/>
  <c r="BM154" i="6"/>
  <c r="BM155" i="6" s="1"/>
  <c r="BK154" i="6"/>
  <c r="BK155" i="6" s="1"/>
  <c r="BG154" i="6"/>
  <c r="BG155" i="6" s="1"/>
  <c r="BE154" i="6"/>
  <c r="BE155" i="6" s="1"/>
  <c r="BB154" i="6"/>
  <c r="BB155" i="6" s="1"/>
  <c r="AZ154" i="6"/>
  <c r="AZ155" i="6" s="1"/>
  <c r="AX154" i="6"/>
  <c r="AX155" i="6" s="1"/>
  <c r="AV154" i="6"/>
  <c r="AS154" i="6"/>
  <c r="AS155" i="6" s="1"/>
  <c r="AP154" i="6"/>
  <c r="AP155" i="6" s="1"/>
  <c r="AN154" i="6"/>
  <c r="AN155" i="6" s="1"/>
  <c r="AL154" i="6"/>
  <c r="AL155" i="6" s="1"/>
  <c r="AI154" i="6"/>
  <c r="AI155" i="6" s="1"/>
  <c r="AG154" i="6"/>
  <c r="AG155" i="6" s="1"/>
  <c r="AE154" i="6"/>
  <c r="AE155" i="6" s="1"/>
  <c r="AB154" i="6"/>
  <c r="AB155" i="6" s="1"/>
  <c r="Z154" i="6"/>
  <c r="Z155" i="6" s="1"/>
  <c r="W154" i="6"/>
  <c r="W155" i="6" s="1"/>
  <c r="U154" i="6"/>
  <c r="U155" i="6" s="1"/>
  <c r="S154" i="6"/>
  <c r="S155" i="6" s="1"/>
  <c r="P154" i="6"/>
  <c r="P155" i="6" s="1"/>
  <c r="N154" i="6"/>
  <c r="N155" i="6" s="1"/>
  <c r="L154" i="6"/>
  <c r="L155" i="6" s="1"/>
  <c r="I154" i="6"/>
  <c r="I155" i="6" s="1"/>
  <c r="G154" i="6"/>
  <c r="G155" i="6" s="1"/>
  <c r="E154" i="6"/>
  <c r="D154" i="6" s="1"/>
  <c r="D153" i="6" s="1"/>
  <c r="D152" i="6" s="1"/>
  <c r="BX153" i="6"/>
  <c r="BX152" i="6"/>
  <c r="BX154" i="6" s="1"/>
  <c r="E155" i="6" l="1"/>
  <c r="BX155" i="6"/>
  <c r="D151" i="6"/>
  <c r="D150" i="6" s="1"/>
  <c r="D149" i="6" s="1"/>
  <c r="D148" i="6" s="1"/>
  <c r="AV148" i="6"/>
  <c r="BV147" i="6"/>
  <c r="BV148" i="6" s="1"/>
  <c r="BT147" i="6"/>
  <c r="BT148" i="6" s="1"/>
  <c r="BR147" i="6"/>
  <c r="BR148" i="6" s="1"/>
  <c r="BO147" i="6"/>
  <c r="BO148" i="6" s="1"/>
  <c r="BM147" i="6"/>
  <c r="BM148" i="6" s="1"/>
  <c r="BK147" i="6"/>
  <c r="BK148" i="6" s="1"/>
  <c r="BG147" i="6"/>
  <c r="BG148" i="6" s="1"/>
  <c r="BE147" i="6"/>
  <c r="BE148" i="6" s="1"/>
  <c r="BB147" i="6"/>
  <c r="BB148" i="6" s="1"/>
  <c r="AZ147" i="6"/>
  <c r="AZ148" i="6" s="1"/>
  <c r="AX147" i="6"/>
  <c r="AX148" i="6" s="1"/>
  <c r="AS147" i="6"/>
  <c r="AS148" i="6" s="1"/>
  <c r="AP147" i="6"/>
  <c r="AP148" i="6" s="1"/>
  <c r="AN147" i="6"/>
  <c r="AN148" i="6" s="1"/>
  <c r="AL147" i="6"/>
  <c r="AL148" i="6" s="1"/>
  <c r="AI147" i="6"/>
  <c r="AI148" i="6" s="1"/>
  <c r="AG147" i="6"/>
  <c r="AG148" i="6" s="1"/>
  <c r="AE147" i="6"/>
  <c r="AE148" i="6" s="1"/>
  <c r="AB147" i="6"/>
  <c r="AB148" i="6" s="1"/>
  <c r="Z147" i="6"/>
  <c r="Z148" i="6" s="1"/>
  <c r="W147" i="6"/>
  <c r="W148" i="6" s="1"/>
  <c r="U147" i="6"/>
  <c r="U148" i="6" s="1"/>
  <c r="S147" i="6"/>
  <c r="S148" i="6" s="1"/>
  <c r="P147" i="6"/>
  <c r="P148" i="6" s="1"/>
  <c r="N147" i="6"/>
  <c r="N148" i="6" s="1"/>
  <c r="L147" i="6"/>
  <c r="L148" i="6" s="1"/>
  <c r="I147" i="6"/>
  <c r="I148" i="6" s="1"/>
  <c r="G147" i="6"/>
  <c r="G148" i="6" s="1"/>
  <c r="E147" i="6"/>
  <c r="E148" i="6" s="1"/>
  <c r="BX146" i="6"/>
  <c r="D147" i="6" l="1"/>
  <c r="D146" i="6" s="1"/>
  <c r="BX145" i="6"/>
  <c r="BX147" i="6" s="1"/>
  <c r="BX148" i="6" s="1"/>
  <c r="D145" i="6" l="1"/>
  <c r="D144" i="6" l="1"/>
  <c r="AV143" i="6"/>
  <c r="AS143" i="6"/>
  <c r="D143" i="6"/>
  <c r="D142" i="6" l="1"/>
  <c r="BX141" i="6"/>
  <c r="D141" i="6"/>
  <c r="D140" i="6" s="1"/>
  <c r="D139" i="6" s="1"/>
  <c r="D138" i="6" s="1"/>
  <c r="BX140" i="6"/>
  <c r="BX139" i="6"/>
  <c r="BX138" i="6"/>
  <c r="BV137" i="6"/>
  <c r="BT137" i="6"/>
  <c r="BR137" i="6"/>
  <c r="BO137" i="6"/>
  <c r="BM137" i="6"/>
  <c r="BK137" i="6"/>
  <c r="BG137" i="6"/>
  <c r="BE137" i="6"/>
  <c r="BB137" i="6"/>
  <c r="AZ137" i="6"/>
  <c r="AX137" i="6"/>
  <c r="AV137" i="6"/>
  <c r="AS137" i="6"/>
  <c r="AP137" i="6"/>
  <c r="AN137" i="6"/>
  <c r="AL137" i="6"/>
  <c r="AI137" i="6"/>
  <c r="AG137" i="6"/>
  <c r="AE137" i="6"/>
  <c r="AB137" i="6"/>
  <c r="Z137" i="6"/>
  <c r="W137" i="6" l="1"/>
  <c r="U137" i="6"/>
  <c r="S137" i="6"/>
  <c r="P137" i="6"/>
  <c r="N137" i="6"/>
  <c r="L137" i="6"/>
  <c r="I137" i="6"/>
  <c r="I142" i="6" s="1"/>
  <c r="I143" i="6" s="1"/>
  <c r="G137" i="6"/>
  <c r="G142" i="6" s="1"/>
  <c r="G143" i="6" s="1"/>
  <c r="E137" i="6"/>
  <c r="BX136" i="6"/>
  <c r="BX135" i="6"/>
  <c r="BX134" i="6"/>
  <c r="BV133" i="6"/>
  <c r="BV142" i="6" s="1"/>
  <c r="BV143" i="6" s="1"/>
  <c r="BT133" i="6"/>
  <c r="BT142" i="6" s="1"/>
  <c r="BT143" i="6" s="1"/>
  <c r="BR133" i="6"/>
  <c r="BR142" i="6" s="1"/>
  <c r="BR143" i="6" s="1"/>
  <c r="BO133" i="6"/>
  <c r="BO142" i="6" s="1"/>
  <c r="BO143" i="6" s="1"/>
  <c r="BM133" i="6"/>
  <c r="BM142" i="6" s="1"/>
  <c r="BM143" i="6" s="1"/>
  <c r="BK133" i="6"/>
  <c r="BK142" i="6" s="1"/>
  <c r="BK143" i="6" s="1"/>
  <c r="D137" i="6" l="1"/>
  <c r="D136" i="6" s="1"/>
  <c r="D135" i="6" s="1"/>
  <c r="D134" i="6" s="1"/>
  <c r="E142" i="6"/>
  <c r="E143" i="6" s="1"/>
  <c r="BG133" i="6"/>
  <c r="BG142" i="6" s="1"/>
  <c r="BG143" i="6" s="1"/>
  <c r="BE133" i="6"/>
  <c r="BE142" i="6" s="1"/>
  <c r="BE143" i="6" s="1"/>
  <c r="BB133" i="6"/>
  <c r="BB142" i="6" s="1"/>
  <c r="BB143" i="6" s="1"/>
  <c r="AZ133" i="6"/>
  <c r="AZ142" i="6" s="1"/>
  <c r="AZ143" i="6" s="1"/>
  <c r="AX133" i="6"/>
  <c r="AX142" i="6" s="1"/>
  <c r="AX143" i="6" s="1"/>
  <c r="AV133" i="6"/>
  <c r="AV142" i="6" s="1"/>
  <c r="AS133" i="6"/>
  <c r="AP133" i="6"/>
  <c r="AP142" i="6" s="1"/>
  <c r="AP143" i="6" s="1"/>
  <c r="AN133" i="6"/>
  <c r="AN142" i="6" s="1"/>
  <c r="AN143" i="6" s="1"/>
  <c r="AL133" i="6"/>
  <c r="AL142" i="6" s="1"/>
  <c r="AL143" i="6" s="1"/>
  <c r="AI133" i="6"/>
  <c r="AI142" i="6" s="1"/>
  <c r="AI143" i="6" s="1"/>
  <c r="AG133" i="6"/>
  <c r="AG142" i="6" s="1"/>
  <c r="AG143" i="6" s="1"/>
  <c r="AE133" i="6"/>
  <c r="AE142" i="6" s="1"/>
  <c r="AE143" i="6" s="1"/>
  <c r="AB133" i="6"/>
  <c r="AB142" i="6" s="1"/>
  <c r="AB143" i="6" s="1"/>
  <c r="Z133" i="6"/>
  <c r="Z142" i="6" s="1"/>
  <c r="Z143" i="6" s="1"/>
  <c r="W133" i="6"/>
  <c r="W142" i="6" s="1"/>
  <c r="W143" i="6" s="1"/>
  <c r="U133" i="6"/>
  <c r="U142" i="6" s="1"/>
  <c r="U143" i="6" s="1"/>
  <c r="S133" i="6"/>
  <c r="S142" i="6" s="1"/>
  <c r="S143" i="6" s="1"/>
  <c r="P133" i="6"/>
  <c r="P142" i="6" s="1"/>
  <c r="P143" i="6" s="1"/>
  <c r="N133" i="6"/>
  <c r="N142" i="6" s="1"/>
  <c r="N143" i="6" s="1"/>
  <c r="L133" i="6"/>
  <c r="L142" i="6" s="1"/>
  <c r="L143" i="6" s="1"/>
  <c r="D133" i="6"/>
  <c r="D132" i="6" s="1"/>
  <c r="D131" i="6" s="1"/>
  <c r="D130" i="6" s="1"/>
  <c r="BX132" i="6"/>
  <c r="BX133" i="6" s="1"/>
  <c r="BX131" i="6"/>
  <c r="BX137" i="6" s="1"/>
  <c r="BX130" i="6"/>
  <c r="BX142" i="6" s="1"/>
  <c r="BX143" i="6" s="1"/>
  <c r="D129" i="6" l="1"/>
  <c r="D128" i="6" s="1"/>
  <c r="D127" i="6" s="1"/>
  <c r="AV126" i="6"/>
  <c r="BV125" i="6"/>
  <c r="BU125" i="6"/>
  <c r="BT125" i="6"/>
  <c r="BS125" i="6"/>
  <c r="BR125" i="6"/>
  <c r="BQ125" i="6"/>
  <c r="BO125" i="6"/>
  <c r="BN125" i="6"/>
  <c r="BM125" i="6"/>
  <c r="BL125" i="6"/>
  <c r="BK125" i="6"/>
  <c r="BJ125" i="6"/>
  <c r="BG125" i="6"/>
  <c r="BF125" i="6"/>
  <c r="BE125" i="6"/>
  <c r="BD125" i="6"/>
  <c r="BB125" i="6"/>
  <c r="BA125" i="6"/>
  <c r="AZ125" i="6"/>
  <c r="AY125" i="6"/>
  <c r="AX125" i="6"/>
  <c r="AW125" i="6"/>
  <c r="AV125" i="6"/>
  <c r="AS125" i="6"/>
  <c r="AR125" i="6"/>
  <c r="AP125" i="6"/>
  <c r="AO125" i="6"/>
  <c r="AN125" i="6"/>
  <c r="AM125" i="6"/>
  <c r="AL125" i="6"/>
  <c r="AK125" i="6"/>
  <c r="AI125" i="6"/>
  <c r="AH125" i="6"/>
  <c r="AG125" i="6"/>
  <c r="AF125" i="6"/>
  <c r="AE125" i="6"/>
  <c r="AD125" i="6"/>
  <c r="AB125" i="6"/>
  <c r="AA125" i="6"/>
  <c r="Z125" i="6"/>
  <c r="Y125" i="6"/>
  <c r="W125" i="6"/>
  <c r="V125" i="6"/>
  <c r="U125" i="6"/>
  <c r="T125" i="6"/>
  <c r="S125" i="6"/>
  <c r="R125" i="6"/>
  <c r="P125" i="6"/>
  <c r="O125" i="6"/>
  <c r="N125" i="6"/>
  <c r="M125" i="6"/>
  <c r="L125" i="6"/>
  <c r="K125" i="6"/>
  <c r="I125" i="6"/>
  <c r="H125" i="6"/>
  <c r="G125" i="6"/>
  <c r="F125" i="6"/>
  <c r="E125" i="6"/>
  <c r="D125" i="6"/>
  <c r="BX124" i="6"/>
  <c r="BS124" i="6"/>
  <c r="BQ124" i="6" s="1"/>
  <c r="BN124" i="6"/>
  <c r="BL124" i="6"/>
  <c r="BJ124" i="6"/>
  <c r="BF124" i="6"/>
  <c r="BD124" i="6"/>
  <c r="BH124" i="6" s="1"/>
  <c r="AY124" i="6"/>
  <c r="AW124" i="6"/>
  <c r="AM124" i="6"/>
  <c r="AK124" i="6" s="1"/>
  <c r="AJ124" i="6"/>
  <c r="AH124" i="6"/>
  <c r="AF124" i="6" s="1"/>
  <c r="AD124" i="6"/>
  <c r="Y124" i="6"/>
  <c r="V124" i="6"/>
  <c r="T124" i="6" s="1"/>
  <c r="X124" i="6" s="1"/>
  <c r="R124" i="6"/>
  <c r="Q124" i="6"/>
  <c r="O124" i="6"/>
  <c r="M124" i="6" s="1"/>
  <c r="K124" i="6"/>
  <c r="H124" i="6"/>
  <c r="F124" i="6"/>
  <c r="D124" i="6" s="1"/>
  <c r="J124" i="6" s="1"/>
  <c r="BX123" i="6"/>
  <c r="BS123" i="6"/>
  <c r="BQ123" i="6"/>
  <c r="BL123" i="6"/>
  <c r="BJ123" i="6"/>
  <c r="BD123" i="6"/>
  <c r="AW123" i="6"/>
  <c r="AH123" i="6"/>
  <c r="AH122" i="6" s="1"/>
  <c r="AH121" i="6" s="1"/>
  <c r="AH120" i="6" s="1"/>
  <c r="AH119" i="6" s="1"/>
  <c r="AF119" i="6" s="1"/>
  <c r="AF123" i="6"/>
  <c r="AD123" i="6"/>
  <c r="AJ123" i="6" s="1"/>
  <c r="T123" i="6"/>
  <c r="R123" i="6" s="1"/>
  <c r="R122" i="6" s="1"/>
  <c r="D123" i="6"/>
  <c r="BX122" i="6"/>
  <c r="BQ122" i="6"/>
  <c r="AF122" i="6"/>
  <c r="AD122" i="6" s="1"/>
  <c r="AD121" i="6" s="1"/>
  <c r="T122" i="6"/>
  <c r="D122" i="6"/>
  <c r="BX121" i="6"/>
  <c r="BX125" i="6" s="1"/>
  <c r="AF121" i="6"/>
  <c r="D121" i="6"/>
  <c r="BV120" i="6"/>
  <c r="BT120" i="6"/>
  <c r="BR120" i="6"/>
  <c r="BO120" i="6"/>
  <c r="BM120" i="6"/>
  <c r="BK120" i="6"/>
  <c r="BG120" i="6"/>
  <c r="BE120" i="6"/>
  <c r="BB120" i="6"/>
  <c r="AZ120" i="6"/>
  <c r="AX120" i="6"/>
  <c r="AV120" i="6"/>
  <c r="AS120" i="6"/>
  <c r="AP120" i="6"/>
  <c r="AN120" i="6"/>
  <c r="AL120" i="6"/>
  <c r="AI120" i="6"/>
  <c r="AG120" i="6"/>
  <c r="AF120" i="6"/>
  <c r="AE120" i="6"/>
  <c r="AB120" i="6"/>
  <c r="Z120" i="6"/>
  <c r="W120" i="6"/>
  <c r="U120" i="6"/>
  <c r="S120" i="6"/>
  <c r="P120" i="6"/>
  <c r="N120" i="6"/>
  <c r="L120" i="6"/>
  <c r="I120" i="6"/>
  <c r="G120" i="6"/>
  <c r="E120" i="6"/>
  <c r="D120" i="6"/>
  <c r="BX119" i="6"/>
  <c r="BX118" i="6"/>
  <c r="BX117" i="6"/>
  <c r="BV116" i="6"/>
  <c r="BT116" i="6"/>
  <c r="BR116" i="6"/>
  <c r="BO116" i="6"/>
  <c r="BM116" i="6"/>
  <c r="BK116" i="6"/>
  <c r="BG116" i="6"/>
  <c r="BE116" i="6"/>
  <c r="BB116" i="6"/>
  <c r="AZ116" i="6"/>
  <c r="AX116" i="6"/>
  <c r="AV116" i="6"/>
  <c r="AS116" i="6"/>
  <c r="AP116" i="6"/>
  <c r="AN116" i="6"/>
  <c r="AL116" i="6"/>
  <c r="AI116" i="6"/>
  <c r="AG116" i="6"/>
  <c r="AE116" i="6"/>
  <c r="AB116" i="6"/>
  <c r="Z116" i="6"/>
  <c r="W116" i="6"/>
  <c r="U116" i="6"/>
  <c r="S116" i="6"/>
  <c r="P116" i="6"/>
  <c r="N116" i="6"/>
  <c r="L116" i="6"/>
  <c r="I116" i="6"/>
  <c r="G116" i="6"/>
  <c r="E116" i="6"/>
  <c r="BX115" i="6"/>
  <c r="BX114" i="6"/>
  <c r="BX113" i="6"/>
  <c r="BX112" i="6"/>
  <c r="BX116" i="6" s="1"/>
  <c r="BV111" i="6"/>
  <c r="BT111" i="6"/>
  <c r="BR111" i="6"/>
  <c r="BO111" i="6"/>
  <c r="BM111" i="6"/>
  <c r="BK111" i="6"/>
  <c r="BG111" i="6"/>
  <c r="BE111" i="6"/>
  <c r="BB111" i="6"/>
  <c r="AZ111" i="6"/>
  <c r="AX111" i="6"/>
  <c r="AV111" i="6"/>
  <c r="AS111" i="6"/>
  <c r="AP111" i="6"/>
  <c r="AN111" i="6"/>
  <c r="AL111" i="6"/>
  <c r="AI111" i="6"/>
  <c r="AG111" i="6"/>
  <c r="AG126" i="6" s="1"/>
  <c r="AE126" i="6" s="1"/>
  <c r="AE111" i="6"/>
  <c r="AB111" i="6"/>
  <c r="Z111" i="6"/>
  <c r="W111" i="6"/>
  <c r="U111" i="6"/>
  <c r="S111" i="6"/>
  <c r="P111" i="6"/>
  <c r="N111" i="6"/>
  <c r="L111" i="6"/>
  <c r="I111" i="6"/>
  <c r="G111" i="6"/>
  <c r="E111" i="6"/>
  <c r="E126" i="6" s="1"/>
  <c r="BX110" i="6"/>
  <c r="BX109" i="6"/>
  <c r="BX111" i="6" s="1"/>
  <c r="AD119" i="6" l="1"/>
  <c r="AF118" i="6"/>
  <c r="AF117" i="6" s="1"/>
  <c r="AF116" i="6" s="1"/>
  <c r="AJ121" i="6"/>
  <c r="AD120" i="6"/>
  <c r="R121" i="6"/>
  <c r="BX120" i="6"/>
  <c r="AJ122" i="6"/>
  <c r="BD122" i="6"/>
  <c r="V123" i="6"/>
  <c r="BQ121" i="6"/>
  <c r="AW122" i="6"/>
  <c r="BJ122" i="6"/>
  <c r="Y123" i="6"/>
  <c r="BP124" i="6"/>
  <c r="AJ125" i="6"/>
  <c r="I126" i="6"/>
  <c r="BV107" i="6"/>
  <c r="BT107" i="6"/>
  <c r="BR107" i="6"/>
  <c r="BO107" i="6"/>
  <c r="BM107" i="6"/>
  <c r="BK107" i="6"/>
  <c r="BG107" i="6"/>
  <c r="BE107" i="6"/>
  <c r="BB107" i="6"/>
  <c r="AZ107" i="6"/>
  <c r="AX107" i="6"/>
  <c r="AV107" i="6"/>
  <c r="AS107" i="6"/>
  <c r="AP107" i="6"/>
  <c r="AN107" i="6"/>
  <c r="AL107" i="6"/>
  <c r="AI107" i="6"/>
  <c r="AG107" i="6"/>
  <c r="AE107" i="6"/>
  <c r="AB107" i="6"/>
  <c r="Z107" i="6"/>
  <c r="W107" i="6"/>
  <c r="U107" i="6"/>
  <c r="S107" i="6"/>
  <c r="P107" i="6"/>
  <c r="N107" i="6"/>
  <c r="L107" i="6"/>
  <c r="I107" i="6"/>
  <c r="G107" i="6"/>
  <c r="E107" i="6"/>
  <c r="BX106" i="6"/>
  <c r="BX105" i="6"/>
  <c r="BX104" i="6"/>
  <c r="BX103" i="6"/>
  <c r="AW121" i="6" l="1"/>
  <c r="G126" i="6"/>
  <c r="BQ120" i="6"/>
  <c r="AJ119" i="6"/>
  <c r="AD118" i="6"/>
  <c r="Y122" i="6"/>
  <c r="X123" i="6"/>
  <c r="V122" i="6"/>
  <c r="X122" i="6" s="1"/>
  <c r="R120" i="6"/>
  <c r="BJ121" i="6"/>
  <c r="BX126" i="6"/>
  <c r="BJ120" i="6" l="1"/>
  <c r="AD117" i="6"/>
  <c r="Y121" i="6"/>
  <c r="AW120" i="6"/>
  <c r="BX102" i="6"/>
  <c r="Y120" i="6" l="1"/>
  <c r="AD116" i="6"/>
  <c r="BZ98" i="6" l="1"/>
  <c r="BY98" i="6"/>
  <c r="BV98" i="6"/>
  <c r="BT98" i="6"/>
  <c r="BR98" i="6"/>
  <c r="BO98" i="6"/>
  <c r="BM98" i="6"/>
  <c r="BK98" i="6"/>
  <c r="BG98" i="6"/>
  <c r="BE98" i="6"/>
  <c r="BB98" i="6"/>
  <c r="AZ98" i="6"/>
  <c r="AX98" i="6"/>
  <c r="AV98" i="6"/>
  <c r="AS98" i="6"/>
  <c r="AP98" i="6"/>
  <c r="AN98" i="6"/>
  <c r="AL98" i="6"/>
  <c r="AI98" i="6"/>
  <c r="AG98" i="6"/>
  <c r="AE98" i="6"/>
  <c r="AB98" i="6"/>
  <c r="Z98" i="6"/>
  <c r="W98" i="6"/>
  <c r="U98" i="6"/>
  <c r="S98" i="6"/>
  <c r="P98" i="6"/>
  <c r="N98" i="6"/>
  <c r="L98" i="6"/>
  <c r="I98" i="6"/>
  <c r="G98" i="6"/>
  <c r="E98" i="6"/>
  <c r="BX97" i="6"/>
  <c r="BX96" i="6"/>
  <c r="BZ95" i="6"/>
  <c r="BY95" i="6"/>
  <c r="BV95" i="6"/>
  <c r="BT95" i="6"/>
  <c r="BR95" i="6"/>
  <c r="BO95" i="6"/>
  <c r="BM95" i="6"/>
  <c r="BK95" i="6"/>
  <c r="BG95" i="6"/>
  <c r="BE95" i="6"/>
  <c r="BB95" i="6"/>
  <c r="AZ95" i="6"/>
  <c r="AX95" i="6"/>
  <c r="AV95" i="6"/>
  <c r="AS95" i="6"/>
  <c r="AP95" i="6"/>
  <c r="AN95" i="6"/>
  <c r="AL95" i="6"/>
  <c r="AI95" i="6"/>
  <c r="AG95" i="6"/>
  <c r="AE95" i="6"/>
  <c r="AB95" i="6"/>
  <c r="Z95" i="6"/>
  <c r="W95" i="6"/>
  <c r="U95" i="6"/>
  <c r="S95" i="6"/>
  <c r="P95" i="6"/>
  <c r="N95" i="6"/>
  <c r="L95" i="6"/>
  <c r="I95" i="6"/>
  <c r="G95" i="6"/>
  <c r="E95" i="6"/>
  <c r="BX94" i="6"/>
  <c r="BX93" i="6"/>
  <c r="BO92" i="6"/>
  <c r="BM92" i="6"/>
  <c r="BK92" i="6"/>
  <c r="BG92" i="6"/>
  <c r="BE92" i="6"/>
  <c r="BB92" i="6"/>
  <c r="AZ92" i="6"/>
  <c r="AX92" i="6"/>
  <c r="AV92" i="6"/>
  <c r="AS92" i="6"/>
  <c r="AN92" i="6"/>
  <c r="AL92" i="6"/>
  <c r="AI92" i="6"/>
  <c r="AG92" i="6"/>
  <c r="AE92" i="6"/>
  <c r="AB92" i="6"/>
  <c r="Z92" i="6"/>
  <c r="W92" i="6"/>
  <c r="U92" i="6"/>
  <c r="S92" i="6"/>
  <c r="P92" i="6"/>
  <c r="N92" i="6"/>
  <c r="I92" i="6"/>
  <c r="G92" i="6"/>
  <c r="E92" i="6"/>
  <c r="BX91" i="6"/>
  <c r="AC91" i="6"/>
  <c r="BX90" i="6"/>
  <c r="BZ89" i="6"/>
  <c r="BY89" i="6"/>
  <c r="BV89" i="6"/>
  <c r="BT89" i="6"/>
  <c r="BR89" i="6"/>
  <c r="BO89" i="6"/>
  <c r="BM89" i="6"/>
  <c r="BK89" i="6"/>
  <c r="BG89" i="6"/>
  <c r="BE89" i="6"/>
  <c r="BB89" i="6"/>
  <c r="AZ89" i="6"/>
  <c r="AX89" i="6"/>
  <c r="AV89" i="6"/>
  <c r="AS89" i="6"/>
  <c r="AP89" i="6"/>
  <c r="AN89" i="6"/>
  <c r="AL89" i="6"/>
  <c r="AI89" i="6"/>
  <c r="AG89" i="6"/>
  <c r="AE89" i="6"/>
  <c r="AB89" i="6"/>
  <c r="Z89" i="6"/>
  <c r="W89" i="6"/>
  <c r="U89" i="6"/>
  <c r="S89" i="6"/>
  <c r="P89" i="6"/>
  <c r="N89" i="6"/>
  <c r="L89" i="6"/>
  <c r="I89" i="6"/>
  <c r="G89" i="6"/>
  <c r="E89" i="6"/>
  <c r="BX88" i="6"/>
  <c r="BX87" i="6"/>
  <c r="BX89" i="6" l="1"/>
  <c r="BX95" i="6"/>
  <c r="BX98" i="6"/>
  <c r="BV85" i="6" l="1"/>
  <c r="BT85" i="6"/>
  <c r="BR85" i="6"/>
  <c r="BO85" i="6"/>
  <c r="BM85" i="6"/>
  <c r="BK85" i="6"/>
  <c r="BG85" i="6"/>
  <c r="BE85" i="6"/>
  <c r="BB85" i="6"/>
  <c r="AZ85" i="6"/>
  <c r="AX85" i="6"/>
  <c r="AV85" i="6"/>
  <c r="AS85" i="6"/>
  <c r="AP85" i="6"/>
  <c r="AN85" i="6"/>
  <c r="AL85" i="6"/>
  <c r="AI85" i="6"/>
  <c r="AG85" i="6"/>
  <c r="AE85" i="6"/>
  <c r="AB85" i="6"/>
  <c r="Z85" i="6"/>
  <c r="W85" i="6"/>
  <c r="U85" i="6"/>
  <c r="S85" i="6"/>
  <c r="P85" i="6"/>
  <c r="N85" i="6"/>
  <c r="L85" i="6"/>
  <c r="I85" i="6"/>
  <c r="G85" i="6"/>
  <c r="E85" i="6"/>
  <c r="BX84" i="6"/>
  <c r="BV81" i="6" l="1"/>
  <c r="BT81" i="6"/>
  <c r="BR81" i="6"/>
  <c r="BO81" i="6"/>
  <c r="BM81" i="6"/>
  <c r="BK81" i="6"/>
  <c r="BG81" i="6"/>
  <c r="BE81" i="6"/>
  <c r="BB81" i="6"/>
  <c r="AZ81" i="6"/>
  <c r="AX81" i="6"/>
  <c r="AV81" i="6"/>
  <c r="AS81" i="6"/>
  <c r="AP81" i="6"/>
  <c r="AN81" i="6"/>
  <c r="AL81" i="6"/>
  <c r="AI81" i="6"/>
  <c r="AG81" i="6"/>
  <c r="AE81" i="6"/>
  <c r="AB81" i="6"/>
  <c r="Z81" i="6"/>
  <c r="W81" i="6"/>
  <c r="U81" i="6"/>
  <c r="S81" i="6"/>
  <c r="P81" i="6"/>
  <c r="N81" i="6"/>
  <c r="L81" i="6"/>
  <c r="I81" i="6"/>
  <c r="G81" i="6"/>
  <c r="E81" i="6"/>
  <c r="BX80" i="6"/>
  <c r="BX79" i="6"/>
  <c r="BX78" i="6" l="1"/>
  <c r="BV77" i="6" l="1"/>
  <c r="BT77" i="6"/>
  <c r="BR77" i="6"/>
  <c r="BO77" i="6"/>
  <c r="BM77" i="6"/>
  <c r="BK77" i="6"/>
  <c r="BG77" i="6"/>
  <c r="BE77" i="6"/>
  <c r="BB77" i="6"/>
  <c r="AZ77" i="6"/>
  <c r="AX77" i="6"/>
  <c r="AV77" i="6"/>
  <c r="AS77" i="6" l="1"/>
  <c r="AP77" i="6"/>
  <c r="AN77" i="6"/>
  <c r="AL77" i="6"/>
  <c r="AI77" i="6"/>
  <c r="AG77" i="6"/>
  <c r="AE77" i="6"/>
  <c r="AB77" i="6"/>
  <c r="Z77" i="6"/>
  <c r="W77" i="6"/>
  <c r="U77" i="6"/>
  <c r="S77" i="6"/>
  <c r="P77" i="6"/>
  <c r="N77" i="6"/>
  <c r="L77" i="6"/>
  <c r="I77" i="6"/>
  <c r="G77" i="6"/>
  <c r="E77" i="6"/>
  <c r="BX76" i="6"/>
  <c r="BX75" i="6"/>
  <c r="BV74" i="6" l="1"/>
  <c r="BT74" i="6"/>
  <c r="BO74" i="6"/>
  <c r="BM74" i="6"/>
  <c r="BK74" i="6"/>
  <c r="BG74" i="6"/>
  <c r="BE74" i="6"/>
  <c r="BB74" i="6"/>
  <c r="AZ74" i="6"/>
  <c r="AX74" i="6"/>
  <c r="AV74" i="6"/>
  <c r="AS74" i="6" l="1"/>
  <c r="AP74" i="6"/>
  <c r="AN74" i="6"/>
  <c r="AL74" i="6"/>
  <c r="AI74" i="6"/>
  <c r="AG74" i="6"/>
  <c r="AE74" i="6"/>
  <c r="I74" i="6"/>
  <c r="G74" i="6"/>
  <c r="E74" i="6"/>
  <c r="BR73" i="6"/>
  <c r="AB73" i="6"/>
  <c r="Z73" i="6"/>
  <c r="W73" i="6"/>
  <c r="U73" i="6"/>
  <c r="S73" i="6"/>
  <c r="P73" i="6"/>
  <c r="N73" i="6"/>
  <c r="L73" i="6"/>
  <c r="BX72" i="6"/>
  <c r="BX73" i="6" l="1"/>
  <c r="Z74" i="6"/>
  <c r="BX71" i="6"/>
  <c r="BV70" i="6"/>
  <c r="BT70" i="6"/>
  <c r="BR70" i="6"/>
  <c r="BO70" i="6"/>
  <c r="BM70" i="6"/>
  <c r="BK70" i="6"/>
  <c r="BK82" i="6" s="1"/>
  <c r="BG70" i="6"/>
  <c r="BE70" i="6"/>
  <c r="BB70" i="6"/>
  <c r="AZ70" i="6"/>
  <c r="AX70" i="6"/>
  <c r="AV70" i="6"/>
  <c r="BM82" i="6" l="1"/>
  <c r="BT82" i="6"/>
  <c r="AZ82" i="6"/>
  <c r="BB82" i="6"/>
  <c r="AS70" i="6"/>
  <c r="AP70" i="6"/>
  <c r="AN70" i="6"/>
  <c r="AL70" i="6"/>
  <c r="AL82" i="6" s="1"/>
  <c r="AI70" i="6"/>
  <c r="AG70" i="6"/>
  <c r="AE70" i="6"/>
  <c r="AB70" i="6"/>
  <c r="Z70" i="6"/>
  <c r="W70" i="6"/>
  <c r="U70" i="6"/>
  <c r="S70" i="6"/>
  <c r="P70" i="6"/>
  <c r="N70" i="6"/>
  <c r="L70" i="6"/>
  <c r="I70" i="6"/>
  <c r="G70" i="6"/>
  <c r="E70" i="6"/>
  <c r="E82" i="6" s="1"/>
  <c r="BX69" i="6"/>
  <c r="BX68" i="6"/>
  <c r="AG82" i="6" l="1"/>
  <c r="AN82" i="6"/>
  <c r="AI82" i="6"/>
  <c r="AP82" i="6"/>
  <c r="BX67" i="6"/>
  <c r="BX66" i="6" l="1"/>
  <c r="BX65" i="6" l="1"/>
  <c r="BZ63" i="6" l="1"/>
  <c r="BY63" i="6"/>
  <c r="AG63" i="6"/>
  <c r="AE63" i="6"/>
  <c r="I63" i="6"/>
  <c r="G63" i="6"/>
  <c r="E63" i="6"/>
  <c r="BV62" i="6"/>
  <c r="BT62" i="6"/>
  <c r="BR62" i="6"/>
  <c r="BO62" i="6"/>
  <c r="BM62" i="6"/>
  <c r="BK62" i="6"/>
  <c r="BG62" i="6"/>
  <c r="BE62" i="6"/>
  <c r="BB62" i="6"/>
  <c r="AZ62" i="6"/>
  <c r="AX62" i="6"/>
  <c r="AV62" i="6"/>
  <c r="AS62" i="6"/>
  <c r="AP62" i="6"/>
  <c r="AN62" i="6"/>
  <c r="AL62" i="6"/>
  <c r="AI62" i="6"/>
  <c r="AB62" i="6"/>
  <c r="Z62" i="6"/>
  <c r="W62" i="6"/>
  <c r="U62" i="6"/>
  <c r="S62" i="6"/>
  <c r="P62" i="6"/>
  <c r="N62" i="6"/>
  <c r="L62" i="6"/>
  <c r="BX61" i="6"/>
  <c r="BX62" i="6" l="1"/>
  <c r="BX60" i="6"/>
  <c r="BX59" i="6" l="1"/>
  <c r="BX63" i="6" s="1"/>
  <c r="BV56" i="6"/>
  <c r="BT56" i="6"/>
  <c r="BR56" i="6"/>
  <c r="BO56" i="6"/>
  <c r="BM56" i="6"/>
  <c r="BK56" i="6"/>
  <c r="BG56" i="6"/>
  <c r="BE56" i="6"/>
  <c r="BB56" i="6"/>
  <c r="AZ56" i="6"/>
  <c r="AX56" i="6"/>
  <c r="AV56" i="6"/>
  <c r="AS56" i="6"/>
  <c r="AP56" i="6"/>
  <c r="AN56" i="6"/>
  <c r="AL56" i="6"/>
  <c r="AI56" i="6"/>
  <c r="AG56" i="6"/>
  <c r="AE56" i="6"/>
  <c r="AB56" i="6"/>
  <c r="Z56" i="6"/>
  <c r="W56" i="6"/>
  <c r="U56" i="6"/>
  <c r="S56" i="6"/>
  <c r="P56" i="6"/>
  <c r="N56" i="6"/>
  <c r="L56" i="6"/>
  <c r="I56" i="6"/>
  <c r="G56" i="6"/>
  <c r="E56" i="6"/>
  <c r="BX55" i="6"/>
  <c r="BX54" i="6" l="1"/>
  <c r="BX53" i="6" l="1"/>
  <c r="BX56" i="6" s="1"/>
  <c r="BV52" i="6" l="1"/>
  <c r="BT52" i="6"/>
  <c r="BR52" i="6"/>
  <c r="BO52" i="6"/>
  <c r="BM52" i="6"/>
  <c r="BK52" i="6"/>
  <c r="BG52" i="6"/>
  <c r="BE52" i="6"/>
  <c r="BB52" i="6"/>
  <c r="AZ52" i="6"/>
  <c r="AX52" i="6"/>
  <c r="AV52" i="6"/>
  <c r="BG57" i="6" l="1"/>
  <c r="AS52" i="6"/>
  <c r="AP52" i="6"/>
  <c r="AN52" i="6"/>
  <c r="AL52" i="6"/>
  <c r="AI52" i="6"/>
  <c r="AG52" i="6"/>
  <c r="AE52" i="6"/>
  <c r="AE57" i="6" s="1"/>
  <c r="AB52" i="6"/>
  <c r="Z52" i="6"/>
  <c r="W52" i="6"/>
  <c r="U52" i="6"/>
  <c r="S52" i="6"/>
  <c r="S57" i="6" s="1"/>
  <c r="P52" i="6"/>
  <c r="N52" i="6"/>
  <c r="L52" i="6"/>
  <c r="I52" i="6"/>
  <c r="G52" i="6"/>
  <c r="E52" i="6"/>
  <c r="BX51" i="6"/>
  <c r="BX50" i="6"/>
  <c r="BX49" i="6"/>
  <c r="AN57" i="6" l="1"/>
  <c r="G57" i="6"/>
  <c r="BV46" i="6"/>
  <c r="BT46" i="6"/>
  <c r="BR46" i="6"/>
  <c r="BO46" i="6"/>
  <c r="BM46" i="6"/>
  <c r="BK46" i="6"/>
  <c r="BG46" i="6"/>
  <c r="BE46" i="6"/>
  <c r="BB46" i="6"/>
  <c r="AZ46" i="6"/>
  <c r="AX46" i="6"/>
  <c r="AV46" i="6"/>
  <c r="AS46" i="6"/>
  <c r="AP46" i="6"/>
  <c r="AN46" i="6"/>
  <c r="AL46" i="6"/>
  <c r="AI46" i="6"/>
  <c r="AG46" i="6"/>
  <c r="AE46" i="6"/>
  <c r="AB46" i="6"/>
  <c r="Z46" i="6"/>
  <c r="W46" i="6"/>
  <c r="U46" i="6"/>
  <c r="S46" i="6"/>
  <c r="P46" i="6"/>
  <c r="N46" i="6"/>
  <c r="L46" i="6"/>
  <c r="I46" i="6"/>
  <c r="G46" i="6"/>
  <c r="E46" i="6"/>
  <c r="BX45" i="6"/>
  <c r="BX44" i="6" l="1"/>
  <c r="BX43" i="6" l="1"/>
  <c r="BX46" i="6" s="1"/>
  <c r="BV42" i="6"/>
  <c r="BT42" i="6"/>
  <c r="BR42" i="6"/>
  <c r="BO42" i="6"/>
  <c r="BM42" i="6"/>
  <c r="BK42" i="6"/>
  <c r="BG42" i="6"/>
  <c r="BE42" i="6"/>
  <c r="BB42" i="6"/>
  <c r="AZ42" i="6"/>
  <c r="AX42" i="6"/>
  <c r="AV42" i="6"/>
  <c r="AS42" i="6" l="1"/>
  <c r="AP42" i="6"/>
  <c r="AN42" i="6"/>
  <c r="AL42" i="6"/>
  <c r="AI42" i="6"/>
  <c r="AG42" i="6"/>
  <c r="AE42" i="6"/>
  <c r="AB42" i="6"/>
  <c r="Z42" i="6"/>
  <c r="W42" i="6"/>
  <c r="U42" i="6"/>
  <c r="S42" i="6"/>
  <c r="P42" i="6"/>
  <c r="N42" i="6"/>
  <c r="L42" i="6"/>
  <c r="I42" i="6"/>
  <c r="G42" i="6"/>
  <c r="E42" i="6"/>
  <c r="BX41" i="6"/>
  <c r="BX40" i="6"/>
  <c r="BX42" i="6" s="1"/>
  <c r="BX39" i="6"/>
  <c r="BX47" i="6" s="1"/>
  <c r="BV36" i="6" l="1"/>
  <c r="BT36" i="6"/>
  <c r="BR36" i="6"/>
  <c r="BO36" i="6"/>
  <c r="BM36" i="6"/>
  <c r="BK36" i="6"/>
  <c r="BG36" i="6"/>
  <c r="BE36" i="6"/>
  <c r="BB36" i="6"/>
  <c r="AZ36" i="6"/>
  <c r="AX36" i="6"/>
  <c r="AV36" i="6"/>
  <c r="AS36" i="6"/>
  <c r="AP36" i="6"/>
  <c r="AN36" i="6"/>
  <c r="AL36" i="6"/>
  <c r="AI36" i="6"/>
  <c r="AG36" i="6"/>
  <c r="AE36" i="6"/>
  <c r="AB36" i="6"/>
  <c r="Z36" i="6"/>
  <c r="W36" i="6"/>
  <c r="U36" i="6"/>
  <c r="S36" i="6"/>
  <c r="P36" i="6"/>
  <c r="N36" i="6"/>
  <c r="L36" i="6"/>
  <c r="I36" i="6"/>
  <c r="G36" i="6"/>
  <c r="E36" i="6"/>
  <c r="BX35" i="6"/>
  <c r="BX34" i="6"/>
  <c r="BX33" i="6" l="1"/>
  <c r="BX32" i="6"/>
  <c r="BX31" i="6"/>
  <c r="BX36" i="6" s="1"/>
  <c r="BV30" i="6"/>
  <c r="BT30" i="6"/>
  <c r="BR30" i="6"/>
  <c r="BO30" i="6"/>
  <c r="BM30" i="6"/>
  <c r="BK30" i="6"/>
  <c r="BG30" i="6" l="1"/>
  <c r="BE30" i="6"/>
  <c r="BB30" i="6"/>
  <c r="AZ30" i="6"/>
  <c r="AX30" i="6"/>
  <c r="AV30" i="6"/>
  <c r="AS30" i="6"/>
  <c r="AP30" i="6"/>
  <c r="AN30" i="6"/>
  <c r="AL30" i="6"/>
  <c r="AI30" i="6"/>
  <c r="AG30" i="6"/>
  <c r="AE30" i="6"/>
  <c r="AB30" i="6"/>
  <c r="Z30" i="6"/>
  <c r="W30" i="6"/>
  <c r="U30" i="6"/>
  <c r="S30" i="6"/>
  <c r="P30" i="6"/>
  <c r="N30" i="6"/>
  <c r="L30" i="6"/>
  <c r="I30" i="6"/>
  <c r="G30" i="6"/>
  <c r="E30" i="6"/>
  <c r="BX29" i="6"/>
  <c r="BX28" i="6"/>
  <c r="BX30" i="6" s="1"/>
  <c r="BV27" i="6"/>
  <c r="BT27" i="6"/>
  <c r="BR27" i="6"/>
  <c r="BR37" i="6" s="1"/>
  <c r="BO27" i="6"/>
  <c r="BM27" i="6"/>
  <c r="BK27" i="6"/>
  <c r="BG27" i="6"/>
  <c r="BE27" i="6"/>
  <c r="BB27" i="6"/>
  <c r="AZ27" i="6"/>
  <c r="AX27" i="6"/>
  <c r="AX37" i="6" s="1"/>
  <c r="AV27" i="6"/>
  <c r="AS27" i="6"/>
  <c r="AP27" i="6"/>
  <c r="AN27" i="6"/>
  <c r="AL27" i="6"/>
  <c r="AL37" i="6" s="1"/>
  <c r="AI27" i="6"/>
  <c r="AG27" i="6"/>
  <c r="AE27" i="6"/>
  <c r="AB27" i="6"/>
  <c r="Z27" i="6"/>
  <c r="W27" i="6"/>
  <c r="U27" i="6"/>
  <c r="S27" i="6"/>
  <c r="P27" i="6"/>
  <c r="N27" i="6"/>
  <c r="L27" i="6"/>
  <c r="L37" i="6" s="1"/>
  <c r="I27" i="6"/>
  <c r="G27" i="6"/>
  <c r="E27" i="6"/>
  <c r="E37" i="6" s="1"/>
  <c r="BX26" i="6"/>
  <c r="BX25" i="6"/>
  <c r="BV23" i="6"/>
  <c r="BT23" i="6"/>
  <c r="BR23" i="6"/>
  <c r="BO23" i="6"/>
  <c r="BM23" i="6"/>
  <c r="BK23" i="6"/>
  <c r="BG23" i="6"/>
  <c r="BE23" i="6"/>
  <c r="BB23" i="6"/>
  <c r="AZ23" i="6"/>
  <c r="AX23" i="6"/>
  <c r="AV23" i="6"/>
  <c r="AS23" i="6"/>
  <c r="AP23" i="6"/>
  <c r="AN23" i="6"/>
  <c r="AL23" i="6"/>
  <c r="AI23" i="6"/>
  <c r="AG23" i="6"/>
  <c r="AE23" i="6"/>
  <c r="AB23" i="6"/>
  <c r="Z23" i="6"/>
  <c r="W23" i="6"/>
  <c r="U23" i="6"/>
  <c r="S23" i="6"/>
  <c r="P23" i="6"/>
  <c r="N23" i="6"/>
  <c r="L23" i="6"/>
  <c r="I23" i="6"/>
  <c r="G23" i="6"/>
  <c r="E23" i="6"/>
  <c r="BX22" i="6"/>
  <c r="N37" i="6" l="1"/>
  <c r="AP37" i="6"/>
  <c r="AZ37" i="6"/>
  <c r="BB37" i="6"/>
  <c r="BV37" i="6"/>
  <c r="AF21" i="6"/>
  <c r="AF20" i="6" s="1"/>
  <c r="AV18" i="6"/>
  <c r="BV17" i="6"/>
  <c r="BT17" i="6"/>
  <c r="BR17" i="6"/>
  <c r="BO17" i="6"/>
  <c r="BM17" i="6"/>
  <c r="BK17" i="6"/>
  <c r="BG17" i="6"/>
  <c r="BE17" i="6"/>
  <c r="BB17" i="6"/>
  <c r="AZ17" i="6"/>
  <c r="AX17" i="6"/>
  <c r="AV17" i="6"/>
  <c r="AS17" i="6"/>
  <c r="AP17" i="6"/>
  <c r="AN17" i="6"/>
  <c r="AL17" i="6"/>
  <c r="AI17" i="6"/>
  <c r="AG17" i="6"/>
  <c r="AE17" i="6"/>
  <c r="AB17" i="6"/>
  <c r="Z17" i="6"/>
  <c r="W17" i="6"/>
  <c r="U17" i="6"/>
  <c r="S17" i="6"/>
  <c r="P17" i="6"/>
  <c r="N17" i="6"/>
  <c r="L17" i="6"/>
  <c r="I17" i="6"/>
  <c r="G17" i="6"/>
  <c r="E17" i="6"/>
  <c r="BX16" i="6"/>
  <c r="BX17" i="6" s="1"/>
  <c r="BX15" i="6"/>
  <c r="AV13" i="6" l="1"/>
  <c r="BV12" i="6"/>
  <c r="BT12" i="6"/>
  <c r="BR12" i="6"/>
  <c r="BO12" i="6"/>
  <c r="BM12" i="6"/>
  <c r="BK12" i="6"/>
  <c r="BG12" i="6"/>
  <c r="BE12" i="6"/>
  <c r="BB12" i="6"/>
  <c r="AZ12" i="6"/>
  <c r="AX12" i="6"/>
  <c r="AS12" i="6"/>
  <c r="AP12" i="6"/>
  <c r="AN12" i="6"/>
  <c r="AL12" i="6"/>
  <c r="AI12" i="6"/>
  <c r="AG12" i="6"/>
  <c r="AE12" i="6"/>
  <c r="AB12" i="6"/>
  <c r="Z12" i="6"/>
  <c r="W12" i="6"/>
  <c r="U12" i="6"/>
  <c r="S12" i="6"/>
  <c r="P12" i="6"/>
  <c r="N12" i="6"/>
  <c r="L12" i="6"/>
  <c r="I12" i="6"/>
  <c r="G12" i="6"/>
  <c r="E12" i="6"/>
  <c r="BX11" i="6"/>
  <c r="BX10" i="6"/>
  <c r="BX9" i="6" l="1"/>
  <c r="BX8" i="6" l="1"/>
  <c r="CF47" i="10"/>
  <c r="CE45" i="10"/>
  <c r="CG45" i="10" s="1"/>
  <c r="CG44" i="10"/>
  <c r="BX12" i="6" l="1"/>
  <c r="CG37" i="10" l="1"/>
  <c r="CF36" i="10"/>
  <c r="CN38" i="10" l="1"/>
  <c r="CF38" i="10"/>
  <c r="D36" i="10" l="1"/>
  <c r="CJ35" i="10"/>
  <c r="CC35" i="10"/>
  <c r="BZ35" i="10"/>
  <c r="BX35" i="10"/>
  <c r="BV35" i="10"/>
  <c r="BS35" i="10"/>
  <c r="BO35" i="10"/>
  <c r="BK35" i="10"/>
  <c r="BI35" i="10"/>
  <c r="BF35" i="10"/>
  <c r="BD35" i="10"/>
  <c r="BB35" i="10"/>
  <c r="AW35" i="10"/>
  <c r="AT35" i="10"/>
  <c r="AP35" i="10"/>
  <c r="AM35" i="10"/>
  <c r="AF35" i="10"/>
  <c r="AD35" i="10"/>
  <c r="AA35" i="10"/>
  <c r="T35" i="10"/>
  <c r="R35" i="10"/>
  <c r="M35" i="10"/>
  <c r="F35" i="10" l="1"/>
  <c r="CC34" i="10"/>
  <c r="BZ34" i="10"/>
  <c r="BX34" i="10"/>
  <c r="BV34" i="10"/>
  <c r="BS34" i="10"/>
  <c r="BQ34" i="10"/>
  <c r="BO34" i="10"/>
  <c r="BK34" i="10"/>
  <c r="BI34" i="10"/>
  <c r="BF34" i="10"/>
  <c r="BD34" i="10"/>
  <c r="BB34" i="10"/>
  <c r="AW34" i="10"/>
  <c r="AT34" i="10"/>
  <c r="AR34" i="10"/>
  <c r="AP34" i="10"/>
  <c r="AM34" i="10"/>
  <c r="AI34" i="10"/>
  <c r="AF34" i="10"/>
  <c r="AD34" i="10"/>
  <c r="AA34" i="10"/>
  <c r="Y34" i="10"/>
  <c r="W34" i="10"/>
  <c r="T34" i="10"/>
  <c r="R34" i="10"/>
  <c r="P34" i="10"/>
  <c r="M34" i="10" l="1"/>
  <c r="K34" i="10"/>
  <c r="I34" i="10"/>
  <c r="CJ33" i="10"/>
  <c r="CC33" i="10"/>
  <c r="BZ33" i="10"/>
  <c r="BX33" i="10"/>
  <c r="BV33" i="10"/>
  <c r="BS33" i="10"/>
  <c r="BQ33" i="10"/>
  <c r="BO33" i="10"/>
  <c r="BZ37" i="10" l="1"/>
  <c r="BS37" i="10" s="1"/>
  <c r="BK33" i="10"/>
  <c r="BI33" i="10"/>
  <c r="BF33" i="10"/>
  <c r="BD33" i="10"/>
  <c r="BB33" i="10"/>
  <c r="AW33" i="10"/>
  <c r="AT33" i="10"/>
  <c r="AR33" i="10"/>
  <c r="AP33" i="10"/>
  <c r="AM33" i="10"/>
  <c r="AK33" i="10"/>
  <c r="AI33" i="10"/>
  <c r="AF33" i="10"/>
  <c r="AD33" i="10"/>
  <c r="AA33" i="10"/>
  <c r="Y33" i="10"/>
  <c r="W33" i="10"/>
  <c r="BK37" i="10" l="1"/>
  <c r="T33" i="10"/>
  <c r="R33" i="10"/>
  <c r="P33" i="10"/>
  <c r="M33" i="10"/>
  <c r="K33" i="10"/>
  <c r="F33" i="10"/>
  <c r="BZ32" i="10"/>
  <c r="BX32" i="10"/>
  <c r="BV32" i="10"/>
  <c r="BS32" i="10"/>
  <c r="BQ32" i="10"/>
  <c r="BO32" i="10"/>
  <c r="BK32" i="10"/>
  <c r="BI32" i="10"/>
  <c r="BF32" i="10"/>
  <c r="BD32" i="10"/>
  <c r="BB32" i="10"/>
  <c r="AW32" i="10"/>
  <c r="AT32" i="10"/>
  <c r="AR32" i="10"/>
  <c r="AP32" i="10"/>
  <c r="AM32" i="10"/>
  <c r="AK32" i="10"/>
  <c r="AI32" i="10"/>
  <c r="AF32" i="10"/>
  <c r="AD32" i="10"/>
  <c r="AA32" i="10"/>
  <c r="Y32" i="10"/>
  <c r="W32" i="10"/>
  <c r="T32" i="10"/>
  <c r="R32" i="10"/>
  <c r="P32" i="10"/>
  <c r="M32" i="10"/>
  <c r="K32" i="10"/>
  <c r="I32" i="10"/>
  <c r="G32" i="10"/>
  <c r="E32" i="10" s="1"/>
  <c r="C32" i="10" s="1"/>
  <c r="F32" i="10"/>
  <c r="CJ31" i="10"/>
  <c r="CC31" i="10"/>
  <c r="BZ31" i="10"/>
  <c r="BX31" i="10"/>
  <c r="BV31" i="10"/>
  <c r="BS31" i="10"/>
  <c r="BQ31" i="10"/>
  <c r="BO31" i="10"/>
  <c r="BK31" i="10"/>
  <c r="BI31" i="10"/>
  <c r="BF31" i="10"/>
  <c r="BD31" i="10"/>
  <c r="BB31" i="10"/>
  <c r="AW31" i="10"/>
  <c r="AT31" i="10"/>
  <c r="AR31" i="10"/>
  <c r="AP31" i="10"/>
  <c r="AM31" i="10"/>
  <c r="AK31" i="10"/>
  <c r="AI31" i="10"/>
  <c r="AF31" i="10"/>
  <c r="AD31" i="10"/>
  <c r="AA31" i="10"/>
  <c r="Y31" i="10"/>
  <c r="W31" i="10"/>
  <c r="T31" i="10"/>
  <c r="R31" i="10"/>
  <c r="P31" i="10"/>
  <c r="M31" i="10"/>
  <c r="K31" i="10"/>
  <c r="I31" i="10"/>
  <c r="CI32" i="10" l="1"/>
  <c r="CK32" i="10" s="1"/>
  <c r="CI31" i="10"/>
  <c r="CK31" i="10" s="1"/>
  <c r="G31" i="10"/>
  <c r="F31" i="10"/>
  <c r="CJ30" i="10"/>
  <c r="CC30" i="10"/>
  <c r="BZ30" i="10"/>
  <c r="BX30" i="10"/>
  <c r="BV30" i="10"/>
  <c r="BS30" i="10"/>
  <c r="BQ30" i="10"/>
  <c r="BO30" i="10"/>
  <c r="E31" i="10" l="1"/>
  <c r="C31" i="10" s="1"/>
  <c r="BK30" i="10"/>
  <c r="BI30" i="10"/>
  <c r="BF30" i="10"/>
  <c r="BD30" i="10"/>
  <c r="BB30" i="10"/>
  <c r="AW30" i="10"/>
  <c r="AT30" i="10"/>
  <c r="AR30" i="10"/>
  <c r="AP30" i="10"/>
  <c r="AM30" i="10"/>
  <c r="AK30" i="10"/>
  <c r="AI30" i="10"/>
  <c r="AF30" i="10"/>
  <c r="AD30" i="10"/>
  <c r="AA30" i="10"/>
  <c r="Y30" i="10"/>
  <c r="W30" i="10"/>
  <c r="T30" i="10"/>
  <c r="R30" i="10"/>
  <c r="P30" i="10"/>
  <c r="M30" i="10"/>
  <c r="K30" i="10"/>
  <c r="I30" i="10"/>
  <c r="F30" i="10"/>
  <c r="CJ29" i="10"/>
  <c r="CC29" i="10"/>
  <c r="BZ29" i="10"/>
  <c r="BX29" i="10"/>
  <c r="BV29" i="10"/>
  <c r="BS29" i="10"/>
  <c r="BQ29" i="10"/>
  <c r="BO29" i="10"/>
  <c r="BK29" i="10"/>
  <c r="BI29" i="10"/>
  <c r="BF29" i="10"/>
  <c r="BD29" i="10"/>
  <c r="BB29" i="10"/>
  <c r="AW29" i="10"/>
  <c r="AT29" i="10"/>
  <c r="AR29" i="10"/>
  <c r="AP29" i="10"/>
  <c r="AM29" i="10"/>
  <c r="AK29" i="10"/>
  <c r="AI29" i="10"/>
  <c r="AF29" i="10"/>
  <c r="AD29" i="10"/>
  <c r="AA29" i="10"/>
  <c r="Y29" i="10"/>
  <c r="W29" i="10"/>
  <c r="T29" i="10"/>
  <c r="R29" i="10"/>
  <c r="P29" i="10"/>
  <c r="G30" i="10" l="1"/>
  <c r="E30" i="10" s="1"/>
  <c r="C30" i="10" s="1"/>
  <c r="CI30" i="10"/>
  <c r="CK30" i="10" s="1"/>
  <c r="M29" i="10"/>
  <c r="K29" i="10"/>
  <c r="I29" i="10"/>
  <c r="F29" i="10"/>
  <c r="CJ28" i="10"/>
  <c r="CI29" i="10" l="1"/>
  <c r="CK29" i="10" s="1"/>
  <c r="G29" i="10"/>
  <c r="E29" i="10" s="1"/>
  <c r="C29" i="10" s="1"/>
  <c r="CC28" i="10"/>
  <c r="BZ28" i="10"/>
  <c r="BX28" i="10"/>
  <c r="BV28" i="10"/>
  <c r="BS28" i="10"/>
  <c r="BQ28" i="10"/>
  <c r="BO28" i="10"/>
  <c r="BK28" i="10"/>
  <c r="BI28" i="10"/>
  <c r="BF28" i="10"/>
  <c r="BD28" i="10"/>
  <c r="BB28" i="10"/>
  <c r="AW28" i="10"/>
  <c r="AT28" i="10"/>
  <c r="AR28" i="10"/>
  <c r="AP28" i="10"/>
  <c r="AM28" i="10"/>
  <c r="AK28" i="10"/>
  <c r="AI28" i="10"/>
  <c r="AF28" i="10"/>
  <c r="AD28" i="10"/>
  <c r="AA28" i="10"/>
  <c r="Y28" i="10"/>
  <c r="W28" i="10"/>
  <c r="T28" i="10"/>
  <c r="R28" i="10"/>
  <c r="P28" i="10"/>
  <c r="M28" i="10"/>
  <c r="K28" i="10"/>
  <c r="I28" i="10"/>
  <c r="CI28" i="10" l="1"/>
  <c r="CK28" i="10" s="1"/>
  <c r="G28" i="10"/>
  <c r="F28" i="10"/>
  <c r="CJ27" i="10"/>
  <c r="CC27" i="10"/>
  <c r="BZ27" i="10"/>
  <c r="BX27" i="10"/>
  <c r="BV27" i="10"/>
  <c r="BS27" i="10"/>
  <c r="BQ27" i="10"/>
  <c r="BO27" i="10"/>
  <c r="BK27" i="10"/>
  <c r="BI27" i="10"/>
  <c r="BF27" i="10"/>
  <c r="BD27" i="10"/>
  <c r="BB27" i="10"/>
  <c r="AW27" i="10"/>
  <c r="AT27" i="10"/>
  <c r="AR27" i="10"/>
  <c r="AP27" i="10"/>
  <c r="AM27" i="10"/>
  <c r="AK27" i="10"/>
  <c r="AI27" i="10"/>
  <c r="AF27" i="10"/>
  <c r="AD27" i="10"/>
  <c r="AA27" i="10"/>
  <c r="Y27" i="10"/>
  <c r="W27" i="10"/>
  <c r="T27" i="10"/>
  <c r="R27" i="10"/>
  <c r="P27" i="10"/>
  <c r="E28" i="10" l="1"/>
  <c r="C28" i="10" s="1"/>
  <c r="M27" i="10"/>
  <c r="K27" i="10"/>
  <c r="I27" i="10"/>
  <c r="F27" i="10"/>
  <c r="CJ26" i="10"/>
  <c r="G27" i="10" l="1"/>
  <c r="E27" i="10" s="1"/>
  <c r="C27" i="10" s="1"/>
  <c r="CI27" i="10"/>
  <c r="CK27" i="10" s="1"/>
  <c r="CC26" i="10" l="1"/>
  <c r="BZ26" i="10"/>
  <c r="BX26" i="10"/>
  <c r="BV26" i="10"/>
  <c r="BS26" i="10"/>
  <c r="BQ26" i="10"/>
  <c r="BO26" i="10"/>
  <c r="BK26" i="10"/>
  <c r="BI26" i="10"/>
  <c r="BF26" i="10"/>
  <c r="BD26" i="10"/>
  <c r="BB26" i="10"/>
  <c r="AW26" i="10"/>
  <c r="AT26" i="10"/>
  <c r="AR26" i="10"/>
  <c r="AP26" i="10"/>
  <c r="AM26" i="10"/>
  <c r="AK26" i="10"/>
  <c r="AI26" i="10"/>
  <c r="AF26" i="10"/>
  <c r="AD26" i="10"/>
  <c r="AA26" i="10"/>
  <c r="Y26" i="10"/>
  <c r="W26" i="10"/>
  <c r="T26" i="10"/>
  <c r="R26" i="10"/>
  <c r="P26" i="10"/>
  <c r="M26" i="10"/>
  <c r="K26" i="10"/>
  <c r="I26" i="10"/>
  <c r="F26" i="10"/>
  <c r="CJ25" i="10"/>
  <c r="CC25" i="10"/>
  <c r="BZ25" i="10"/>
  <c r="BX25" i="10"/>
  <c r="BV25" i="10"/>
  <c r="BS25" i="10"/>
  <c r="BQ25" i="10"/>
  <c r="BO25" i="10"/>
  <c r="BK25" i="10"/>
  <c r="BI25" i="10"/>
  <c r="BF25" i="10"/>
  <c r="BD25" i="10"/>
  <c r="BB25" i="10"/>
  <c r="AW25" i="10"/>
  <c r="AT25" i="10"/>
  <c r="AR25" i="10"/>
  <c r="AP25" i="10"/>
  <c r="AM25" i="10"/>
  <c r="AK25" i="10"/>
  <c r="AI25" i="10"/>
  <c r="AF25" i="10"/>
  <c r="AD25" i="10"/>
  <c r="AA25" i="10"/>
  <c r="Y25" i="10"/>
  <c r="W25" i="10"/>
  <c r="T25" i="10"/>
  <c r="R25" i="10"/>
  <c r="P25" i="10"/>
  <c r="M25" i="10"/>
  <c r="K25" i="10"/>
  <c r="I25" i="10"/>
  <c r="F25" i="10"/>
  <c r="CJ24" i="10"/>
  <c r="G25" i="10" l="1"/>
  <c r="E25" i="10" s="1"/>
  <c r="C25" i="10" s="1"/>
  <c r="CI25" i="10"/>
  <c r="G26" i="10"/>
  <c r="E26" i="10" s="1"/>
  <c r="C26" i="10" s="1"/>
  <c r="CI26" i="10"/>
  <c r="CK26" i="10" s="1"/>
  <c r="CK25" i="10"/>
  <c r="BZ24" i="10"/>
  <c r="BX24" i="10"/>
  <c r="BV24" i="10"/>
  <c r="BS24" i="10"/>
  <c r="BQ24" i="10"/>
  <c r="BO24" i="10"/>
  <c r="BK24" i="10"/>
  <c r="BI24" i="10"/>
  <c r="BF24" i="10"/>
  <c r="BD24" i="10"/>
  <c r="BB24" i="10"/>
  <c r="AW24" i="10"/>
  <c r="AT24" i="10"/>
  <c r="AR24" i="10"/>
  <c r="AP24" i="10"/>
  <c r="AM24" i="10"/>
  <c r="AK24" i="10"/>
  <c r="AI24" i="10"/>
  <c r="AF24" i="10"/>
  <c r="AD24" i="10"/>
  <c r="AA24" i="10"/>
  <c r="Y24" i="10"/>
  <c r="W24" i="10"/>
  <c r="T24" i="10"/>
  <c r="R24" i="10"/>
  <c r="P24" i="10"/>
  <c r="M24" i="10"/>
  <c r="K24" i="10"/>
  <c r="I24" i="10"/>
  <c r="F24" i="10"/>
  <c r="CJ23" i="10"/>
  <c r="CI24" i="10" l="1"/>
  <c r="CK24" i="10" s="1"/>
  <c r="G24" i="10"/>
  <c r="E24" i="10" s="1"/>
  <c r="C24" i="10" s="1"/>
  <c r="CC23" i="10" l="1"/>
  <c r="BZ23" i="10"/>
  <c r="BX23" i="10"/>
  <c r="BV23" i="10"/>
  <c r="BS23" i="10"/>
  <c r="BQ23" i="10"/>
  <c r="BO23" i="10"/>
  <c r="BK23" i="10"/>
  <c r="BI23" i="10"/>
  <c r="BF23" i="10"/>
  <c r="BD23" i="10"/>
  <c r="BB23" i="10"/>
  <c r="AW23" i="10"/>
  <c r="AT23" i="10"/>
  <c r="AR23" i="10"/>
  <c r="AP23" i="10"/>
  <c r="AM23" i="10"/>
  <c r="AK23" i="10"/>
  <c r="AI23" i="10"/>
  <c r="AF23" i="10"/>
  <c r="AD23" i="10"/>
  <c r="AA23" i="10"/>
  <c r="Y23" i="10"/>
  <c r="W23" i="10"/>
  <c r="T23" i="10"/>
  <c r="R23" i="10"/>
  <c r="P23" i="10"/>
  <c r="M23" i="10"/>
  <c r="K23" i="10"/>
  <c r="I23" i="10"/>
  <c r="F23" i="10"/>
  <c r="G23" i="10" l="1"/>
  <c r="E23" i="10" s="1"/>
  <c r="C23" i="10" s="1"/>
  <c r="CI23" i="10"/>
  <c r="CK23" i="10" s="1"/>
  <c r="CJ22" i="10"/>
  <c r="CC22" i="10" l="1"/>
  <c r="BZ22" i="10" l="1"/>
  <c r="BX22" i="10"/>
  <c r="BV22" i="10"/>
  <c r="BS22" i="10"/>
  <c r="BQ22" i="10"/>
  <c r="BO22" i="10"/>
  <c r="BK22" i="10"/>
  <c r="BI22" i="10"/>
  <c r="BF22" i="10"/>
  <c r="BD22" i="10"/>
  <c r="BB22" i="10"/>
  <c r="AW22" i="10"/>
  <c r="AT22" i="10"/>
  <c r="AR22" i="10"/>
  <c r="AP22" i="10"/>
  <c r="AM22" i="10"/>
  <c r="AK22" i="10"/>
  <c r="AI22" i="10"/>
  <c r="AF22" i="10"/>
  <c r="AD22" i="10"/>
  <c r="AA22" i="10"/>
  <c r="Y22" i="10"/>
  <c r="W22" i="10"/>
  <c r="T22" i="10"/>
  <c r="R22" i="10"/>
  <c r="P22" i="10"/>
  <c r="M22" i="10"/>
  <c r="K22" i="10"/>
  <c r="I22" i="10"/>
  <c r="F22" i="10"/>
  <c r="CJ21" i="10"/>
  <c r="CC21" i="10"/>
  <c r="BZ21" i="10"/>
  <c r="BX21" i="10"/>
  <c r="BV21" i="10"/>
  <c r="BS21" i="10"/>
  <c r="BQ21" i="10"/>
  <c r="BO21" i="10"/>
  <c r="BK21" i="10"/>
  <c r="BI21" i="10"/>
  <c r="BF21" i="10"/>
  <c r="BD21" i="10"/>
  <c r="BB21" i="10"/>
  <c r="AW21" i="10"/>
  <c r="AT21" i="10"/>
  <c r="AR21" i="10"/>
  <c r="AP21" i="10"/>
  <c r="AM21" i="10"/>
  <c r="AK21" i="10"/>
  <c r="AI21" i="10"/>
  <c r="AF21" i="10"/>
  <c r="AD21" i="10"/>
  <c r="AA21" i="10"/>
  <c r="Y21" i="10"/>
  <c r="W21" i="10"/>
  <c r="T21" i="10"/>
  <c r="R21" i="10"/>
  <c r="P21" i="10"/>
  <c r="M21" i="10"/>
  <c r="K21" i="10"/>
  <c r="I21" i="10"/>
  <c r="F21" i="10"/>
  <c r="CO20" i="10"/>
  <c r="CJ20" i="10"/>
  <c r="CC20" i="10"/>
  <c r="BZ20" i="10"/>
  <c r="BX20" i="10"/>
  <c r="BV20" i="10"/>
  <c r="BS20" i="10"/>
  <c r="BQ20" i="10"/>
  <c r="BO20" i="10"/>
  <c r="BK20" i="10"/>
  <c r="BI20" i="10"/>
  <c r="BF20" i="10"/>
  <c r="BD20" i="10"/>
  <c r="BB20" i="10"/>
  <c r="AW20" i="10"/>
  <c r="AT20" i="10"/>
  <c r="AR20" i="10"/>
  <c r="AP20" i="10"/>
  <c r="AM20" i="10"/>
  <c r="AK20" i="10"/>
  <c r="AI20" i="10"/>
  <c r="AF20" i="10"/>
  <c r="AD20" i="10"/>
  <c r="AA20" i="10"/>
  <c r="Y20" i="10"/>
  <c r="W20" i="10"/>
  <c r="T20" i="10"/>
  <c r="R20" i="10"/>
  <c r="P20" i="10"/>
  <c r="M20" i="10"/>
  <c r="K20" i="10"/>
  <c r="I20" i="10"/>
  <c r="CJ19" i="10"/>
  <c r="CC19" i="10"/>
  <c r="BZ19" i="10"/>
  <c r="BX19" i="10"/>
  <c r="BV19" i="10"/>
  <c r="BS19" i="10"/>
  <c r="BQ19" i="10"/>
  <c r="BO19" i="10"/>
  <c r="BK19" i="10"/>
  <c r="BI19" i="10"/>
  <c r="BF19" i="10"/>
  <c r="BD19" i="10"/>
  <c r="BB19" i="10"/>
  <c r="AW19" i="10"/>
  <c r="AT19" i="10"/>
  <c r="AR19" i="10"/>
  <c r="AP19" i="10"/>
  <c r="AM19" i="10"/>
  <c r="AK19" i="10"/>
  <c r="AI19" i="10"/>
  <c r="AF19" i="10"/>
  <c r="AD19" i="10"/>
  <c r="AA19" i="10"/>
  <c r="Y19" i="10"/>
  <c r="W19" i="10"/>
  <c r="T19" i="10"/>
  <c r="R19" i="10"/>
  <c r="P19" i="10"/>
  <c r="M19" i="10"/>
  <c r="K19" i="10"/>
  <c r="I19" i="10"/>
  <c r="F19" i="10"/>
  <c r="CJ18" i="10"/>
  <c r="CC18" i="10"/>
  <c r="BZ18" i="10"/>
  <c r="BX18" i="10"/>
  <c r="BV18" i="10"/>
  <c r="BS18" i="10"/>
  <c r="BQ18" i="10"/>
  <c r="BO18" i="10"/>
  <c r="BK18" i="10"/>
  <c r="BI18" i="10"/>
  <c r="BF18" i="10"/>
  <c r="BD18" i="10"/>
  <c r="BB18" i="10"/>
  <c r="AW18" i="10"/>
  <c r="AT18" i="10"/>
  <c r="AR18" i="10"/>
  <c r="AP18" i="10"/>
  <c r="AM18" i="10"/>
  <c r="AK18" i="10"/>
  <c r="AI18" i="10"/>
  <c r="AF18" i="10"/>
  <c r="AD18" i="10"/>
  <c r="AA18" i="10"/>
  <c r="Y18" i="10"/>
  <c r="W18" i="10"/>
  <c r="T18" i="10"/>
  <c r="R18" i="10"/>
  <c r="P18" i="10"/>
  <c r="M18" i="10"/>
  <c r="K18" i="10"/>
  <c r="I18" i="10"/>
  <c r="F18" i="10"/>
  <c r="CJ17" i="10"/>
  <c r="CC17" i="10"/>
  <c r="CI18" i="10" l="1"/>
  <c r="G21" i="10"/>
  <c r="E21" i="10" s="1"/>
  <c r="C21" i="10" s="1"/>
  <c r="G22" i="10"/>
  <c r="G18" i="10"/>
  <c r="CK18" i="10"/>
  <c r="G19" i="10"/>
  <c r="E19" i="10" s="1"/>
  <c r="C19" i="10" s="1"/>
  <c r="G20" i="10"/>
  <c r="E20" i="10" s="1"/>
  <c r="C20" i="10" s="1"/>
  <c r="CI20" i="10"/>
  <c r="CK20" i="10" s="1"/>
  <c r="CI21" i="10"/>
  <c r="CK21" i="10" s="1"/>
  <c r="E22" i="10"/>
  <c r="C22" i="10" s="1"/>
  <c r="E18" i="10"/>
  <c r="C18" i="10" s="1"/>
  <c r="CI19" i="10"/>
  <c r="CK19" i="10" s="1"/>
  <c r="CI22" i="10"/>
  <c r="CK22" i="10" s="1"/>
  <c r="F17" i="10" l="1"/>
  <c r="CJ16" i="10"/>
  <c r="CC16" i="10"/>
  <c r="BZ16" i="10"/>
  <c r="BX16" i="10"/>
  <c r="BV16" i="10"/>
  <c r="BS16" i="10"/>
  <c r="BQ16" i="10"/>
  <c r="BO16" i="10"/>
  <c r="BK16" i="10"/>
  <c r="BI16" i="10"/>
  <c r="BF16" i="10"/>
  <c r="BD16" i="10"/>
  <c r="BB16" i="10"/>
  <c r="AW16" i="10"/>
  <c r="AT16" i="10"/>
  <c r="AR16" i="10"/>
  <c r="AP16" i="10"/>
  <c r="AM16" i="10"/>
  <c r="AK16" i="10"/>
  <c r="AI16" i="10"/>
  <c r="AF16" i="10"/>
  <c r="AD16" i="10"/>
  <c r="AA16" i="10"/>
  <c r="Y16" i="10"/>
  <c r="W16" i="10"/>
  <c r="T16" i="10"/>
  <c r="R16" i="10"/>
  <c r="P16" i="10"/>
  <c r="M16" i="10"/>
  <c r="K16" i="10"/>
  <c r="I16" i="10"/>
  <c r="F16" i="10"/>
  <c r="CJ15" i="10"/>
  <c r="G16" i="10" l="1"/>
  <c r="E16" i="10" s="1"/>
  <c r="C16" i="10" s="1"/>
  <c r="CI16" i="10"/>
  <c r="CK16" i="10" s="1"/>
  <c r="CC15" i="10" l="1"/>
  <c r="BX15" i="10"/>
  <c r="BQ15" i="10"/>
  <c r="BO15" i="10"/>
  <c r="BF15" i="10"/>
  <c r="BD15" i="10"/>
  <c r="AT15" i="10"/>
  <c r="AR15" i="10"/>
  <c r="AP15" i="10"/>
  <c r="AM15" i="10"/>
  <c r="AK15" i="10"/>
  <c r="I15" i="10"/>
  <c r="F15" i="10"/>
  <c r="CJ14" i="10"/>
  <c r="AK14" i="10"/>
  <c r="AI14" i="10"/>
  <c r="M14" i="10" l="1"/>
  <c r="K14" i="10"/>
  <c r="I14" i="10"/>
  <c r="F14" i="10"/>
  <c r="CJ13" i="10"/>
  <c r="CC13" i="10"/>
  <c r="BK13" i="10"/>
  <c r="AR13" i="10" l="1"/>
  <c r="AI13" i="10"/>
  <c r="W13" i="10" l="1"/>
  <c r="K13" i="10"/>
  <c r="F13" i="10"/>
  <c r="CJ12" i="10"/>
  <c r="CC12" i="10"/>
  <c r="F12" i="10"/>
  <c r="CJ11" i="10"/>
  <c r="CC11" i="10"/>
  <c r="BZ11" i="10"/>
  <c r="BV11" i="10"/>
  <c r="BF11" i="10"/>
  <c r="BD11" i="10"/>
  <c r="BB11" i="10"/>
  <c r="AT11" i="10"/>
  <c r="AP11" i="10"/>
  <c r="R11" i="10"/>
  <c r="P11" i="10"/>
  <c r="I11" i="10"/>
  <c r="F11" i="10" l="1"/>
  <c r="CJ10" i="10"/>
  <c r="BZ10" i="10"/>
  <c r="BX10" i="10"/>
  <c r="BV10" i="10"/>
  <c r="BS10" i="10"/>
  <c r="BQ10" i="10"/>
  <c r="BO10" i="10"/>
  <c r="BK10" i="10"/>
  <c r="BI10" i="10"/>
  <c r="BF10" i="10"/>
  <c r="BD10" i="10"/>
  <c r="BB10" i="10"/>
  <c r="AW10" i="10"/>
  <c r="AT10" i="10"/>
  <c r="AR10" i="10"/>
  <c r="AP10" i="10"/>
  <c r="AM10" i="10"/>
  <c r="AK10" i="10"/>
  <c r="AI10" i="10"/>
  <c r="AF10" i="10"/>
  <c r="AD10" i="10"/>
  <c r="AA10" i="10"/>
  <c r="Y10" i="10"/>
  <c r="W10" i="10"/>
  <c r="T10" i="10"/>
  <c r="R10" i="10"/>
  <c r="P10" i="10"/>
  <c r="M10" i="10"/>
  <c r="K10" i="10"/>
  <c r="I10" i="10"/>
  <c r="F10" i="10"/>
  <c r="CJ9" i="10"/>
  <c r="G10" i="10" l="1"/>
  <c r="E10" i="10" s="1"/>
  <c r="C10" i="10" s="1"/>
  <c r="CI10" i="10"/>
  <c r="CK10" i="10" s="1"/>
  <c r="CC9" i="10"/>
  <c r="BZ9" i="10" l="1"/>
  <c r="BX9" i="10"/>
  <c r="BV9" i="10"/>
  <c r="BS9" i="10"/>
  <c r="BQ9" i="10"/>
  <c r="BO9" i="10"/>
  <c r="BK9" i="10"/>
  <c r="BI9" i="10"/>
  <c r="BF9" i="10"/>
  <c r="BD9" i="10"/>
  <c r="BB9" i="10"/>
  <c r="AW9" i="10" l="1"/>
  <c r="AT9" i="10"/>
  <c r="AR9" i="10"/>
  <c r="AP9" i="10"/>
  <c r="AM9" i="10"/>
  <c r="AK9" i="10"/>
  <c r="AI9" i="10"/>
  <c r="AF9" i="10"/>
  <c r="AD9" i="10"/>
  <c r="AA9" i="10"/>
  <c r="Y9" i="10"/>
  <c r="W9" i="10"/>
  <c r="T9" i="10"/>
  <c r="R9" i="10"/>
  <c r="P9" i="10"/>
  <c r="M9" i="10"/>
  <c r="K9" i="10"/>
  <c r="I9" i="10"/>
  <c r="F9" i="10"/>
  <c r="CJ8" i="10"/>
  <c r="CC8" i="10"/>
  <c r="G9" i="10" l="1"/>
  <c r="E9" i="10" s="1"/>
  <c r="C9" i="10" s="1"/>
  <c r="CI9" i="10"/>
  <c r="CK9" i="10" s="1"/>
  <c r="F8" i="10"/>
  <c r="CJ7" i="10"/>
  <c r="CJ36" i="10" s="1"/>
  <c r="CC7" i="10"/>
  <c r="F7" i="10"/>
  <c r="F36" i="10" s="1"/>
  <c r="I16" i="11" l="1"/>
  <c r="N29" i="11" s="1"/>
  <c r="I15" i="11"/>
  <c r="M28" i="11" s="1"/>
  <c r="I14" i="11"/>
  <c r="N27" i="11" s="1"/>
  <c r="I13" i="11"/>
  <c r="M26" i="11" s="1"/>
  <c r="N12" i="11"/>
  <c r="I12" i="11"/>
  <c r="O25" i="11" s="1"/>
  <c r="N25" i="11" s="1"/>
  <c r="I11" i="11"/>
  <c r="M24" i="11" s="1"/>
  <c r="N10" i="11"/>
  <c r="I10" i="11"/>
  <c r="M23" i="11" s="1"/>
  <c r="I9" i="11"/>
  <c r="N22" i="11" s="1"/>
  <c r="I8" i="11"/>
  <c r="N21" i="11" s="1"/>
  <c r="I7" i="11"/>
  <c r="N20" i="11" s="1"/>
  <c r="N235" i="1"/>
  <c r="N236" i="1" s="1"/>
  <c r="M235" i="1"/>
  <c r="M236" i="1" s="1"/>
  <c r="L235" i="1"/>
  <c r="L236" i="1" s="1"/>
  <c r="K235" i="1"/>
  <c r="K236" i="1" s="1"/>
  <c r="J235" i="1"/>
  <c r="J236" i="1" s="1"/>
  <c r="I235" i="1"/>
  <c r="I236" i="1" s="1"/>
  <c r="H235" i="1"/>
  <c r="H236" i="1" s="1"/>
  <c r="H244" i="1" s="1"/>
  <c r="G235" i="1"/>
  <c r="G236" i="1" s="1"/>
  <c r="G244" i="1" s="1"/>
  <c r="F235" i="1"/>
  <c r="F236" i="1" s="1"/>
  <c r="D235" i="1"/>
  <c r="D236" i="1" s="1"/>
  <c r="C235" i="1"/>
  <c r="C236" i="1" s="1"/>
  <c r="N232" i="1"/>
  <c r="M232" i="1"/>
  <c r="L232" i="1"/>
  <c r="K232" i="1"/>
  <c r="J232" i="1"/>
  <c r="I232" i="1"/>
  <c r="H232" i="1"/>
  <c r="G232" i="1"/>
  <c r="F232" i="1"/>
  <c r="D232" i="1"/>
  <c r="C232" i="1"/>
  <c r="N231" i="1"/>
  <c r="M231" i="1"/>
  <c r="L231" i="1"/>
  <c r="K231" i="1"/>
  <c r="J231" i="1"/>
  <c r="I231" i="1"/>
  <c r="H231" i="1"/>
  <c r="G231" i="1"/>
  <c r="F231" i="1"/>
  <c r="D231" i="1"/>
  <c r="C231" i="1"/>
  <c r="N229" i="1"/>
  <c r="M229" i="1"/>
  <c r="L229" i="1"/>
  <c r="J229" i="1"/>
  <c r="I229" i="1"/>
  <c r="H229" i="1"/>
  <c r="G229" i="1"/>
  <c r="F229" i="1"/>
  <c r="D229" i="1"/>
  <c r="C229" i="1"/>
  <c r="N228" i="1"/>
  <c r="O228" i="1" s="1"/>
  <c r="M228" i="1"/>
  <c r="L228" i="1"/>
  <c r="J228" i="1"/>
  <c r="I228" i="1"/>
  <c r="H228" i="1"/>
  <c r="P228" i="1" s="1"/>
  <c r="P229" i="1" s="1"/>
  <c r="G228" i="1"/>
  <c r="F228" i="1"/>
  <c r="D228" i="1"/>
  <c r="C228" i="1"/>
  <c r="K217" i="1"/>
  <c r="K210" i="1"/>
  <c r="CR34" i="17" s="1"/>
  <c r="CU34" i="17" s="1"/>
  <c r="CS34" i="17" s="1"/>
  <c r="K203" i="1"/>
  <c r="CR33" i="17" s="1"/>
  <c r="CU33" i="17" s="1"/>
  <c r="CS33" i="17" s="1"/>
  <c r="K195" i="1"/>
  <c r="CR32" i="17" s="1"/>
  <c r="CU32" i="17" s="1"/>
  <c r="CS32" i="17" s="1"/>
  <c r="K189" i="1"/>
  <c r="CR31" i="17" s="1"/>
  <c r="CU31" i="17" s="1"/>
  <c r="CS31" i="17" s="1"/>
  <c r="K183" i="1"/>
  <c r="K176" i="1"/>
  <c r="CR29" i="17" s="1"/>
  <c r="CU29" i="17" s="1"/>
  <c r="CS29" i="17" s="1"/>
  <c r="K169" i="1"/>
  <c r="CR28" i="17" s="1"/>
  <c r="CU28" i="17" s="1"/>
  <c r="CS28" i="17" s="1"/>
  <c r="K162" i="1"/>
  <c r="CR27" i="17" s="1"/>
  <c r="CU27" i="17" s="1"/>
  <c r="CS27" i="17" s="1"/>
  <c r="K154" i="1"/>
  <c r="CR26" i="17" s="1"/>
  <c r="CU26" i="17" s="1"/>
  <c r="CS26" i="17" s="1"/>
  <c r="K147" i="1"/>
  <c r="CR25" i="17" s="1"/>
  <c r="CU25" i="17" s="1"/>
  <c r="CS25" i="17" s="1"/>
  <c r="K141" i="1"/>
  <c r="CR24" i="17" s="1"/>
  <c r="CU24" i="17" s="1"/>
  <c r="CS24" i="17" s="1"/>
  <c r="K133" i="1"/>
  <c r="K117" i="1"/>
  <c r="CR21" i="17" s="1"/>
  <c r="CU21" i="17" s="1"/>
  <c r="CS21" i="17" s="1"/>
  <c r="K101" i="1"/>
  <c r="CR20" i="17" s="1"/>
  <c r="CU20" i="17" s="1"/>
  <c r="CS20" i="17" s="1"/>
  <c r="A98" i="1"/>
  <c r="K94" i="1"/>
  <c r="CR19" i="17" s="1"/>
  <c r="CU19" i="17" s="1"/>
  <c r="CS19" i="17" s="1"/>
  <c r="K86" i="1"/>
  <c r="CR18" i="17" s="1"/>
  <c r="CU18" i="17" s="1"/>
  <c r="CS18" i="17" s="1"/>
  <c r="K78" i="1"/>
  <c r="CR17" i="17" s="1"/>
  <c r="CU17" i="17" s="1"/>
  <c r="CS17" i="17" s="1"/>
  <c r="K71" i="1"/>
  <c r="CR16" i="17" s="1"/>
  <c r="CU16" i="17" s="1"/>
  <c r="CS16" i="17" s="1"/>
  <c r="K64" i="1"/>
  <c r="CR15" i="17" s="1"/>
  <c r="CU15" i="17" s="1"/>
  <c r="CS15" i="17" s="1"/>
  <c r="O57" i="1"/>
  <c r="K57" i="1"/>
  <c r="CR14" i="17" s="1"/>
  <c r="CU14" i="17" s="1"/>
  <c r="CS14" i="17" s="1"/>
  <c r="K50" i="1"/>
  <c r="K43" i="1"/>
  <c r="CR40" i="17" s="1"/>
  <c r="CU40" i="17" s="1"/>
  <c r="CS40" i="17" s="1"/>
  <c r="K36" i="1"/>
  <c r="CR39" i="17" s="1"/>
  <c r="CU39" i="17" s="1"/>
  <c r="CS39" i="17" s="1"/>
  <c r="K29" i="1"/>
  <c r="O25" i="1"/>
  <c r="K20" i="1"/>
  <c r="CR37" i="17" s="1"/>
  <c r="CU37" i="17" s="1"/>
  <c r="CS37" i="17" s="1"/>
  <c r="K12" i="1"/>
  <c r="CR12" i="17" s="1"/>
  <c r="CU12" i="17" s="1"/>
  <c r="K7" i="1"/>
  <c r="N6" i="1"/>
  <c r="M6" i="1"/>
  <c r="L6" i="1"/>
  <c r="J6" i="1"/>
  <c r="I6" i="1"/>
  <c r="H6" i="1"/>
  <c r="G6" i="1"/>
  <c r="F6" i="1"/>
  <c r="D6" i="1"/>
  <c r="C6" i="1"/>
  <c r="G246" i="1" l="1"/>
  <c r="F306" i="6"/>
  <c r="F304" i="6" s="1"/>
  <c r="J36" i="10"/>
  <c r="N31" i="11"/>
  <c r="N30" i="11"/>
  <c r="T306" i="6"/>
  <c r="T304" i="6" s="1"/>
  <c r="X36" i="10"/>
  <c r="O23" i="11"/>
  <c r="N23" i="11" s="1"/>
  <c r="AW306" i="6"/>
  <c r="AW304" i="6" s="1"/>
  <c r="AW303" i="6" s="1"/>
  <c r="BA36" i="10"/>
  <c r="BA35" i="10" s="1"/>
  <c r="M306" i="6"/>
  <c r="M304" i="6" s="1"/>
  <c r="Q36" i="10"/>
  <c r="Q35" i="10" s="1"/>
  <c r="Q34" i="10" s="1"/>
  <c r="Q33" i="10" s="1"/>
  <c r="Q32" i="10" s="1"/>
  <c r="Q31" i="10" s="1"/>
  <c r="BF306" i="6"/>
  <c r="BF304" i="6" s="1"/>
  <c r="BF303" i="6" s="1"/>
  <c r="BF302" i="6" s="1"/>
  <c r="BJ36" i="10"/>
  <c r="BJ35" i="10" s="1"/>
  <c r="BJ34" i="10" s="1"/>
  <c r="BJ33" i="10" s="1"/>
  <c r="BJ32" i="10" s="1"/>
  <c r="BJ31" i="10" s="1"/>
  <c r="BJ30" i="10" s="1"/>
  <c r="BJ29" i="10" s="1"/>
  <c r="BJ28" i="10" s="1"/>
  <c r="BJ27" i="10" s="1"/>
  <c r="BJ26" i="10" s="1"/>
  <c r="BJ25" i="10" s="1"/>
  <c r="O27" i="11"/>
  <c r="BJ306" i="6"/>
  <c r="BJ304" i="6" s="1"/>
  <c r="BJ303" i="6" s="1"/>
  <c r="BJ302" i="6" s="1"/>
  <c r="BN36" i="10"/>
  <c r="O22" i="11"/>
  <c r="Y306" i="6"/>
  <c r="Y304" i="6" s="1"/>
  <c r="Y303" i="6" s="1"/>
  <c r="AC36" i="10"/>
  <c r="AC35" i="10" s="1"/>
  <c r="BS306" i="6"/>
  <c r="BS304" i="6" s="1"/>
  <c r="BS303" i="6" s="1"/>
  <c r="BS302" i="6" s="1"/>
  <c r="BW36" i="10"/>
  <c r="BW35" i="10" s="1"/>
  <c r="BW34" i="10" s="1"/>
  <c r="BW33" i="10" s="1"/>
  <c r="BW32" i="10" s="1"/>
  <c r="BW31" i="10" s="1"/>
  <c r="BW30" i="10" s="1"/>
  <c r="BW29" i="10" s="1"/>
  <c r="BW28" i="10" s="1"/>
  <c r="BW27" i="10" s="1"/>
  <c r="BW26" i="10" s="1"/>
  <c r="BW25" i="10" s="1"/>
  <c r="BW24" i="10" s="1"/>
  <c r="BW23" i="10" s="1"/>
  <c r="BW22" i="10" s="1"/>
  <c r="BW21" i="10" s="1"/>
  <c r="BW20" i="10" s="1"/>
  <c r="BW19" i="10" s="1"/>
  <c r="BW18" i="10" s="1"/>
  <c r="BW17" i="10" s="1"/>
  <c r="BW16" i="10" s="1"/>
  <c r="BW15" i="10" s="1"/>
  <c r="BW14" i="10" s="1"/>
  <c r="BW13" i="10" s="1"/>
  <c r="CS12" i="17"/>
  <c r="DN39" i="17"/>
  <c r="CZ39" i="17"/>
  <c r="DD39" i="17" s="1"/>
  <c r="DE39" i="17" s="1"/>
  <c r="DL39" i="17" s="1"/>
  <c r="DO39" i="17" s="1"/>
  <c r="DN18" i="17"/>
  <c r="CZ18" i="17"/>
  <c r="DD18" i="17" s="1"/>
  <c r="DE18" i="17" s="1"/>
  <c r="DL18" i="17" s="1"/>
  <c r="DO18" i="17" s="1"/>
  <c r="DN21" i="17"/>
  <c r="CZ21" i="17"/>
  <c r="DD21" i="17" s="1"/>
  <c r="DE21" i="17" s="1"/>
  <c r="DL21" i="17" s="1"/>
  <c r="DO21" i="17" s="1"/>
  <c r="DN26" i="17"/>
  <c r="CZ26" i="17"/>
  <c r="DD26" i="17" s="1"/>
  <c r="DE26" i="17" s="1"/>
  <c r="DL26" i="17" s="1"/>
  <c r="DO26" i="17" s="1"/>
  <c r="CZ34" i="17"/>
  <c r="DD34" i="17" s="1"/>
  <c r="DE34" i="17" s="1"/>
  <c r="DL34" i="17" s="1"/>
  <c r="DO34" i="17" s="1"/>
  <c r="DN34" i="17"/>
  <c r="DP34" i="17" s="1"/>
  <c r="DS34" i="17" s="1"/>
  <c r="C246" i="1"/>
  <c r="M20" i="11"/>
  <c r="M22" i="11"/>
  <c r="O24" i="11"/>
  <c r="N26" i="11"/>
  <c r="N28" i="11"/>
  <c r="DN37" i="17"/>
  <c r="CZ37" i="17"/>
  <c r="DD37" i="17" s="1"/>
  <c r="DE37" i="17" s="1"/>
  <c r="DL37" i="17" s="1"/>
  <c r="DO37" i="17" s="1"/>
  <c r="DN40" i="17"/>
  <c r="CZ40" i="17"/>
  <c r="DD40" i="17" s="1"/>
  <c r="DE40" i="17" s="1"/>
  <c r="DL40" i="17" s="1"/>
  <c r="DO40" i="17" s="1"/>
  <c r="DN15" i="17"/>
  <c r="CZ15" i="17"/>
  <c r="DD15" i="17" s="1"/>
  <c r="DE15" i="17" s="1"/>
  <c r="DL15" i="17" s="1"/>
  <c r="DO15" i="17" s="1"/>
  <c r="CZ19" i="17"/>
  <c r="DD19" i="17" s="1"/>
  <c r="DE19" i="17" s="1"/>
  <c r="DL19" i="17" s="1"/>
  <c r="DO19" i="17" s="1"/>
  <c r="DN19" i="17"/>
  <c r="DP19" i="17" s="1"/>
  <c r="DS19" i="17" s="1"/>
  <c r="DN27" i="17"/>
  <c r="CZ27" i="17"/>
  <c r="DD27" i="17" s="1"/>
  <c r="DE27" i="17" s="1"/>
  <c r="DL27" i="17" s="1"/>
  <c r="DO27" i="17" s="1"/>
  <c r="DN31" i="17"/>
  <c r="CZ31" i="17"/>
  <c r="DD31" i="17" s="1"/>
  <c r="DE31" i="17" s="1"/>
  <c r="DL31" i="17" s="1"/>
  <c r="DO31" i="17" s="1"/>
  <c r="K233" i="1"/>
  <c r="K239" i="1" s="1"/>
  <c r="F227" i="1"/>
  <c r="G227" i="1"/>
  <c r="M25" i="11"/>
  <c r="M27" i="11"/>
  <c r="O26" i="11" s="1"/>
  <c r="M29" i="11"/>
  <c r="DN16" i="17"/>
  <c r="CZ16" i="17"/>
  <c r="DD16" i="17" s="1"/>
  <c r="DE16" i="17" s="1"/>
  <c r="DL16" i="17" s="1"/>
  <c r="DO16" i="17" s="1"/>
  <c r="DN24" i="17"/>
  <c r="CZ24" i="17"/>
  <c r="DD24" i="17" s="1"/>
  <c r="DE24" i="17" s="1"/>
  <c r="DL24" i="17" s="1"/>
  <c r="DO24" i="17" s="1"/>
  <c r="DN28" i="17"/>
  <c r="CZ28" i="17"/>
  <c r="DD28" i="17" s="1"/>
  <c r="DE28" i="17" s="1"/>
  <c r="DL28" i="17" s="1"/>
  <c r="DO28" i="17" s="1"/>
  <c r="DN32" i="17"/>
  <c r="CZ32" i="17"/>
  <c r="DD32" i="17" s="1"/>
  <c r="DE32" i="17" s="1"/>
  <c r="DL32" i="17" s="1"/>
  <c r="DO32" i="17" s="1"/>
  <c r="Q228" i="1"/>
  <c r="Q229" i="1" s="1"/>
  <c r="C242" i="1"/>
  <c r="C245" i="1"/>
  <c r="C247" i="1" s="1"/>
  <c r="M21" i="11"/>
  <c r="O26" i="1"/>
  <c r="CR38" i="17"/>
  <c r="CU38" i="17" s="1"/>
  <c r="CS38" i="17" s="1"/>
  <c r="DN14" i="17"/>
  <c r="CZ14" i="17"/>
  <c r="DD14" i="17" s="1"/>
  <c r="DE14" i="17" s="1"/>
  <c r="DL14" i="17" s="1"/>
  <c r="DO14" i="17" s="1"/>
  <c r="DN17" i="17"/>
  <c r="CZ17" i="17"/>
  <c r="DD17" i="17" s="1"/>
  <c r="DE17" i="17" s="1"/>
  <c r="DL17" i="17" s="1"/>
  <c r="DO17" i="17" s="1"/>
  <c r="DN20" i="17"/>
  <c r="CZ20" i="17"/>
  <c r="DD20" i="17" s="1"/>
  <c r="DE20" i="17" s="1"/>
  <c r="DL20" i="17" s="1"/>
  <c r="DO20" i="17" s="1"/>
  <c r="DN25" i="17"/>
  <c r="CZ25" i="17"/>
  <c r="DD25" i="17" s="1"/>
  <c r="DE25" i="17" s="1"/>
  <c r="DL25" i="17" s="1"/>
  <c r="DO25" i="17" s="1"/>
  <c r="DN29" i="17"/>
  <c r="CZ29" i="17"/>
  <c r="DD29" i="17" s="1"/>
  <c r="DE29" i="17" s="1"/>
  <c r="DL29" i="17" s="1"/>
  <c r="DO29" i="17" s="1"/>
  <c r="DN33" i="17"/>
  <c r="CZ33" i="17"/>
  <c r="DD33" i="17" s="1"/>
  <c r="DE33" i="17" s="1"/>
  <c r="DL33" i="17" s="1"/>
  <c r="DO33" i="17" s="1"/>
  <c r="C243" i="1"/>
  <c r="C244" i="1" s="1"/>
  <c r="H241" i="1"/>
  <c r="BL306" i="6" l="1"/>
  <c r="BL304" i="6" s="1"/>
  <c r="BL303" i="6" s="1"/>
  <c r="BL302" i="6" s="1"/>
  <c r="BP36" i="10"/>
  <c r="D306" i="6"/>
  <c r="D304" i="6" s="1"/>
  <c r="D303" i="6" s="1"/>
  <c r="H36" i="10"/>
  <c r="M30" i="11"/>
  <c r="M31" i="11"/>
  <c r="M32" i="11"/>
  <c r="CU41" i="17"/>
  <c r="AC34" i="10"/>
  <c r="Q30" i="10"/>
  <c r="Q29" i="10" s="1"/>
  <c r="AA306" i="6"/>
  <c r="AA304" i="6" s="1"/>
  <c r="AA303" i="6" s="1"/>
  <c r="AA302" i="6" s="1"/>
  <c r="AE36" i="10"/>
  <c r="AE35" i="10" s="1"/>
  <c r="AE34" i="10" s="1"/>
  <c r="AE33" i="10" s="1"/>
  <c r="AE32" i="10" s="1"/>
  <c r="AE31" i="10" s="1"/>
  <c r="AE30" i="10" s="1"/>
  <c r="AE29" i="10" s="1"/>
  <c r="AE28" i="10" s="1"/>
  <c r="AE27" i="10" s="1"/>
  <c r="AE26" i="10" s="1"/>
  <c r="AE25" i="10" s="1"/>
  <c r="AE24" i="10" s="1"/>
  <c r="AE23" i="10" s="1"/>
  <c r="AE22" i="10" s="1"/>
  <c r="AE21" i="10" s="1"/>
  <c r="AE20" i="10" s="1"/>
  <c r="AE19" i="10" s="1"/>
  <c r="AE18" i="10" s="1"/>
  <c r="AE17" i="10" s="1"/>
  <c r="AE16" i="10" s="1"/>
  <c r="AM306" i="6"/>
  <c r="AM304" i="6" s="1"/>
  <c r="AM303" i="6" s="1"/>
  <c r="AM302" i="6" s="1"/>
  <c r="AQ36" i="10"/>
  <c r="DN38" i="17"/>
  <c r="CZ38" i="17"/>
  <c r="DD38" i="17" s="1"/>
  <c r="DE38" i="17" s="1"/>
  <c r="DL38" i="17" s="1"/>
  <c r="DO38" i="17" s="1"/>
  <c r="BD306" i="6"/>
  <c r="BD304" i="6" s="1"/>
  <c r="BD303" i="6" s="1"/>
  <c r="BH36" i="10"/>
  <c r="BH35" i="10" s="1"/>
  <c r="DP33" i="17"/>
  <c r="DS33" i="17" s="1"/>
  <c r="DP25" i="17"/>
  <c r="DS25" i="17" s="1"/>
  <c r="DP17" i="17"/>
  <c r="DS17" i="17" s="1"/>
  <c r="DP28" i="17"/>
  <c r="DS28" i="17" s="1"/>
  <c r="DP16" i="17"/>
  <c r="DS16" i="17" s="1"/>
  <c r="DP31" i="17"/>
  <c r="DS31" i="17" s="1"/>
  <c r="DP40" i="17"/>
  <c r="DS40" i="17" s="1"/>
  <c r="DP26" i="17"/>
  <c r="DS26" i="17" s="1"/>
  <c r="DP18" i="17"/>
  <c r="DS18" i="17" s="1"/>
  <c r="DN12" i="17"/>
  <c r="DN41" i="17" s="1"/>
  <c r="CZ12" i="17"/>
  <c r="CS41" i="17"/>
  <c r="AC303" i="6"/>
  <c r="Y302" i="6"/>
  <c r="L304" i="6"/>
  <c r="M303" i="6"/>
  <c r="J38" i="10"/>
  <c r="O28" i="11"/>
  <c r="BQ306" i="6"/>
  <c r="BQ304" i="6" s="1"/>
  <c r="BQ303" i="6" s="1"/>
  <c r="BU36" i="10"/>
  <c r="BU35" i="10" s="1"/>
  <c r="BU34" i="10" s="1"/>
  <c r="BU33" i="10" s="1"/>
  <c r="BU32" i="10" s="1"/>
  <c r="BU31" i="10" s="1"/>
  <c r="N24" i="11"/>
  <c r="BA306" i="6"/>
  <c r="BA304" i="6" s="1"/>
  <c r="BA303" i="6" s="1"/>
  <c r="BA302" i="6" s="1"/>
  <c r="BE36" i="10"/>
  <c r="BE35" i="10" s="1"/>
  <c r="BE34" i="10" s="1"/>
  <c r="BE33" i="10" s="1"/>
  <c r="BE32" i="10" s="1"/>
  <c r="BE31" i="10" s="1"/>
  <c r="BE30" i="10" s="1"/>
  <c r="BE29" i="10" s="1"/>
  <c r="BE28" i="10" s="1"/>
  <c r="BE27" i="10" s="1"/>
  <c r="BE26" i="10" s="1"/>
  <c r="BE25" i="10" s="1"/>
  <c r="BE24" i="10" s="1"/>
  <c r="BE23" i="10" s="1"/>
  <c r="BE22" i="10" s="1"/>
  <c r="BE21" i="10" s="1"/>
  <c r="O306" i="6"/>
  <c r="O304" i="6" s="1"/>
  <c r="O303" i="6" s="1"/>
  <c r="O302" i="6" s="1"/>
  <c r="O301" i="6" s="1"/>
  <c r="S36" i="10"/>
  <c r="S35" i="10" s="1"/>
  <c r="S34" i="10" s="1"/>
  <c r="S33" i="10" s="1"/>
  <c r="S32" i="10" s="1"/>
  <c r="S31" i="10" s="1"/>
  <c r="S30" i="10" s="1"/>
  <c r="S29" i="10" s="1"/>
  <c r="S28" i="10" s="1"/>
  <c r="S27" i="10" s="1"/>
  <c r="S26" i="10" s="1"/>
  <c r="S25" i="10" s="1"/>
  <c r="S24" i="10" s="1"/>
  <c r="S23" i="10" s="1"/>
  <c r="S22" i="10" s="1"/>
  <c r="S21" i="10" s="1"/>
  <c r="S20" i="10" s="1"/>
  <c r="S19" i="10" s="1"/>
  <c r="S18" i="10" s="1"/>
  <c r="S17" i="10" s="1"/>
  <c r="S16" i="10" s="1"/>
  <c r="BJ24" i="10"/>
  <c r="BJ23" i="10" s="1"/>
  <c r="BJ22" i="10" s="1"/>
  <c r="BJ21" i="10" s="1"/>
  <c r="BJ20" i="10" s="1"/>
  <c r="BJ19" i="10" s="1"/>
  <c r="BJ18" i="10" s="1"/>
  <c r="BA34" i="10"/>
  <c r="S304" i="6"/>
  <c r="T303" i="6"/>
  <c r="T302" i="6" s="1"/>
  <c r="E304" i="6"/>
  <c r="F303" i="6"/>
  <c r="F302" i="6" s="1"/>
  <c r="O20" i="11"/>
  <c r="R306" i="6"/>
  <c r="R304" i="6" s="1"/>
  <c r="R303" i="6" s="1"/>
  <c r="V36" i="10"/>
  <c r="V38" i="10" s="1"/>
  <c r="DP29" i="17"/>
  <c r="DS29" i="17" s="1"/>
  <c r="DP20" i="17"/>
  <c r="DS20" i="17" s="1"/>
  <c r="DP14" i="17"/>
  <c r="DS14" i="17" s="1"/>
  <c r="DP32" i="17"/>
  <c r="DS32" i="17" s="1"/>
  <c r="DP24" i="17"/>
  <c r="DS24" i="17" s="1"/>
  <c r="DP27" i="17"/>
  <c r="DS27" i="17" s="1"/>
  <c r="DP15" i="17"/>
  <c r="DS15" i="17" s="1"/>
  <c r="DP37" i="17"/>
  <c r="DS37" i="17" s="1"/>
  <c r="O21" i="11"/>
  <c r="K306" i="6"/>
  <c r="K304" i="6" s="1"/>
  <c r="K303" i="6" s="1"/>
  <c r="K302" i="6" s="1"/>
  <c r="O36" i="10"/>
  <c r="DP21" i="17"/>
  <c r="DS21" i="17" s="1"/>
  <c r="DP39" i="17"/>
  <c r="DS39" i="17" s="1"/>
  <c r="BN38" i="10"/>
  <c r="BN35" i="10"/>
  <c r="AW302" i="6"/>
  <c r="AF306" i="6"/>
  <c r="AF304" i="6" s="1"/>
  <c r="AJ36" i="10"/>
  <c r="V306" i="6" l="1"/>
  <c r="V304" i="6" s="1"/>
  <c r="Z36" i="10"/>
  <c r="Z35" i="10" s="1"/>
  <c r="Z34" i="10" s="1"/>
  <c r="Z33" i="10" s="1"/>
  <c r="Z32" i="10" s="1"/>
  <c r="Z31" i="10" s="1"/>
  <c r="Z30" i="10" s="1"/>
  <c r="Z29" i="10" s="1"/>
  <c r="Z28" i="10" s="1"/>
  <c r="Z27" i="10" s="1"/>
  <c r="Z26" i="10" s="1"/>
  <c r="Z25" i="10" s="1"/>
  <c r="Z24" i="10" s="1"/>
  <c r="Z23" i="10" s="1"/>
  <c r="Z22" i="10" s="1"/>
  <c r="Z21" i="10" s="1"/>
  <c r="Z20" i="10" s="1"/>
  <c r="Z19" i="10" s="1"/>
  <c r="Z18" i="10" s="1"/>
  <c r="Z17" i="10" s="1"/>
  <c r="Z16" i="10" s="1"/>
  <c r="BN34" i="10"/>
  <c r="R302" i="6"/>
  <c r="BJ17" i="10"/>
  <c r="BJ16" i="10" s="1"/>
  <c r="BE20" i="10"/>
  <c r="BE19" i="10" s="1"/>
  <c r="BE18" i="10" s="1"/>
  <c r="BE17" i="10" s="1"/>
  <c r="BQ302" i="6"/>
  <c r="Q303" i="6"/>
  <c r="M302" i="6"/>
  <c r="M301" i="6" s="1"/>
  <c r="K301" i="6" s="1"/>
  <c r="DN43" i="17"/>
  <c r="DN45" i="17" s="1"/>
  <c r="DO45" i="17" s="1"/>
  <c r="CZ42" i="17"/>
  <c r="BH34" i="10"/>
  <c r="BL35" i="10"/>
  <c r="Q28" i="10"/>
  <c r="Q27" i="10" s="1"/>
  <c r="Q26" i="10" s="1"/>
  <c r="Q25" i="10" s="1"/>
  <c r="Q24" i="10" s="1"/>
  <c r="Q23" i="10" s="1"/>
  <c r="Q22" i="10" s="1"/>
  <c r="Q21" i="10" s="1"/>
  <c r="Q20" i="10" s="1"/>
  <c r="Q19" i="10" s="1"/>
  <c r="Q18" i="10" s="1"/>
  <c r="Q17" i="10" s="1"/>
  <c r="Q16" i="10" s="1"/>
  <c r="H38" i="10"/>
  <c r="AE304" i="6"/>
  <c r="AF303" i="6"/>
  <c r="AF302" i="6" s="1"/>
  <c r="AF301" i="6" s="1"/>
  <c r="H306" i="6"/>
  <c r="H304" i="6" s="1"/>
  <c r="L36" i="10"/>
  <c r="L35" i="10" s="1"/>
  <c r="L34" i="10" s="1"/>
  <c r="L33" i="10" s="1"/>
  <c r="L32" i="10" s="1"/>
  <c r="L31" i="10" s="1"/>
  <c r="L30" i="10" s="1"/>
  <c r="L29" i="10" s="1"/>
  <c r="L28" i="10" s="1"/>
  <c r="L27" i="10" s="1"/>
  <c r="L26" i="10" s="1"/>
  <c r="L25" i="10" s="1"/>
  <c r="L24" i="10" s="1"/>
  <c r="L23" i="10" s="1"/>
  <c r="L22" i="10" s="1"/>
  <c r="L21" i="10" s="1"/>
  <c r="L20" i="10" s="1"/>
  <c r="L19" i="10" s="1"/>
  <c r="L18" i="10" s="1"/>
  <c r="O30" i="11"/>
  <c r="O31" i="11"/>
  <c r="W35" i="10"/>
  <c r="V35" i="10" s="1"/>
  <c r="BN306" i="6"/>
  <c r="BN304" i="6" s="1"/>
  <c r="BR36" i="10"/>
  <c r="BR35" i="10" s="1"/>
  <c r="BR34" i="10" s="1"/>
  <c r="BR33" i="10" s="1"/>
  <c r="BR32" i="10" s="1"/>
  <c r="BR31" i="10" s="1"/>
  <c r="BR30" i="10" s="1"/>
  <c r="BR29" i="10" s="1"/>
  <c r="BR28" i="10" s="1"/>
  <c r="BR27" i="10" s="1"/>
  <c r="BR26" i="10" s="1"/>
  <c r="BR25" i="10" s="1"/>
  <c r="P35" i="10"/>
  <c r="O35" i="10" s="1"/>
  <c r="DD12" i="17"/>
  <c r="CZ41" i="17"/>
  <c r="BH303" i="6"/>
  <c r="BD302" i="6"/>
  <c r="AR306" i="6"/>
  <c r="AR304" i="6" s="1"/>
  <c r="AR303" i="6" s="1"/>
  <c r="AR302" i="6" s="1"/>
  <c r="AV36" i="10"/>
  <c r="M33" i="11"/>
  <c r="D302" i="6"/>
  <c r="AY306" i="6"/>
  <c r="AY304" i="6" s="1"/>
  <c r="AY303" i="6" s="1"/>
  <c r="BC36" i="10"/>
  <c r="BC35" i="10" s="1"/>
  <c r="AE15" i="10"/>
  <c r="AE14" i="10" s="1"/>
  <c r="AG35" i="10"/>
  <c r="AK306" i="6"/>
  <c r="AK304" i="6" s="1"/>
  <c r="AK303" i="6" s="1"/>
  <c r="AO36" i="10"/>
  <c r="AO35" i="10" s="1"/>
  <c r="I35" i="10"/>
  <c r="BA33" i="10"/>
  <c r="BU30" i="10"/>
  <c r="DP38" i="17"/>
  <c r="DS38" i="17" s="1"/>
  <c r="AG34" i="10"/>
  <c r="AC33" i="10"/>
  <c r="O29" i="11"/>
  <c r="AD306" i="6"/>
  <c r="AD304" i="6" s="1"/>
  <c r="AD303" i="6" s="1"/>
  <c r="AH36" i="10"/>
  <c r="BU29" i="10" l="1"/>
  <c r="BU28" i="10" s="1"/>
  <c r="AY302" i="6"/>
  <c r="BC303" i="6"/>
  <c r="AV38" i="10"/>
  <c r="AV35" i="10"/>
  <c r="AV34" i="10" s="1"/>
  <c r="BR24" i="10"/>
  <c r="BR23" i="10" s="1"/>
  <c r="BR22" i="10" s="1"/>
  <c r="BR21" i="10" s="1"/>
  <c r="BR20" i="10" s="1"/>
  <c r="BR19" i="10" s="1"/>
  <c r="BR18" i="10" s="1"/>
  <c r="BR17" i="10" s="1"/>
  <c r="BR16" i="10" s="1"/>
  <c r="AO306" i="6"/>
  <c r="AO304" i="6" s="1"/>
  <c r="AS36" i="10"/>
  <c r="AS35" i="10" s="1"/>
  <c r="AS34" i="10" s="1"/>
  <c r="AS33" i="10" s="1"/>
  <c r="AS32" i="10" s="1"/>
  <c r="AS31" i="10" s="1"/>
  <c r="AS30" i="10" s="1"/>
  <c r="AS29" i="10" s="1"/>
  <c r="Q15" i="10"/>
  <c r="Q14" i="10" s="1"/>
  <c r="BU306" i="6"/>
  <c r="BU304" i="6" s="1"/>
  <c r="BU303" i="6" s="1"/>
  <c r="BY36" i="10"/>
  <c r="BY35" i="10" s="1"/>
  <c r="BY34" i="10" s="1"/>
  <c r="BY33" i="10" s="1"/>
  <c r="BY32" i="10" s="1"/>
  <c r="BY31" i="10" s="1"/>
  <c r="H35" i="10"/>
  <c r="AG33" i="10"/>
  <c r="AC32" i="10"/>
  <c r="DD41" i="17"/>
  <c r="DE12" i="17"/>
  <c r="BM304" i="6"/>
  <c r="BN303" i="6"/>
  <c r="AH306" i="6"/>
  <c r="AH304" i="6" s="1"/>
  <c r="AL36" i="10"/>
  <c r="AL35" i="10" s="1"/>
  <c r="AL34" i="10" s="1"/>
  <c r="AI35" i="10"/>
  <c r="AH35" i="10" s="1"/>
  <c r="BN33" i="10"/>
  <c r="AO34" i="10"/>
  <c r="O34" i="10"/>
  <c r="U35" i="10"/>
  <c r="V34" i="10"/>
  <c r="K300" i="6"/>
  <c r="K299" i="6" s="1"/>
  <c r="K298" i="6" s="1"/>
  <c r="K297" i="6" s="1"/>
  <c r="K296" i="6" s="1"/>
  <c r="K295" i="6" s="1"/>
  <c r="K294" i="6" s="1"/>
  <c r="K293" i="6" s="1"/>
  <c r="K292" i="6" s="1"/>
  <c r="K291" i="6" s="1"/>
  <c r="Q301" i="6"/>
  <c r="BE16" i="10"/>
  <c r="BE15" i="10" s="1"/>
  <c r="BA32" i="10"/>
  <c r="AD302" i="6"/>
  <c r="AD301" i="6" s="1"/>
  <c r="AK302" i="6"/>
  <c r="BC34" i="10"/>
  <c r="BG35" i="10"/>
  <c r="BM35" i="10" s="1"/>
  <c r="BI303" i="6"/>
  <c r="G304" i="6"/>
  <c r="H303" i="6"/>
  <c r="BL34" i="10"/>
  <c r="BH33" i="10"/>
  <c r="BH32" i="10" s="1"/>
  <c r="BH31" i="10" s="1"/>
  <c r="BH30" i="10" s="1"/>
  <c r="U304" i="6"/>
  <c r="V303" i="6"/>
  <c r="V302" i="6" l="1"/>
  <c r="X303" i="6"/>
  <c r="H302" i="6"/>
  <c r="J303" i="6"/>
  <c r="BC33" i="10"/>
  <c r="BG34" i="10"/>
  <c r="BM34" i="10" s="1"/>
  <c r="V33" i="10"/>
  <c r="AO33" i="10"/>
  <c r="AH34" i="10"/>
  <c r="BP303" i="6"/>
  <c r="BN302" i="6"/>
  <c r="Y35" i="10"/>
  <c r="X35" i="10" s="1"/>
  <c r="K35" i="10"/>
  <c r="BA31" i="10"/>
  <c r="BQ35" i="10"/>
  <c r="BP35" i="10" s="1"/>
  <c r="AC31" i="10"/>
  <c r="AG32" i="10"/>
  <c r="H34" i="10"/>
  <c r="BN32" i="10"/>
  <c r="AK34" i="10"/>
  <c r="AL33" i="10"/>
  <c r="AL32" i="10" s="1"/>
  <c r="AL31" i="10" s="1"/>
  <c r="DL12" i="17"/>
  <c r="DE41" i="17"/>
  <c r="BY30" i="10"/>
  <c r="CA31" i="10"/>
  <c r="AS28" i="10"/>
  <c r="AS27" i="10" s="1"/>
  <c r="AS26" i="10" s="1"/>
  <c r="AS25" i="10" s="1"/>
  <c r="AS24" i="10" s="1"/>
  <c r="AS23" i="10" s="1"/>
  <c r="AS22" i="10" s="1"/>
  <c r="AS21" i="10" s="1"/>
  <c r="AS20" i="10" s="1"/>
  <c r="AS19" i="10" s="1"/>
  <c r="AS18" i="10" s="1"/>
  <c r="AS17" i="10" s="1"/>
  <c r="AS16" i="10" s="1"/>
  <c r="AX34" i="10"/>
  <c r="AV33" i="10"/>
  <c r="AV32" i="10" s="1"/>
  <c r="AV31" i="10" s="1"/>
  <c r="AV30" i="10" s="1"/>
  <c r="AV29" i="10" s="1"/>
  <c r="BU27" i="10"/>
  <c r="BU26" i="10" s="1"/>
  <c r="BH29" i="10"/>
  <c r="BL30" i="10"/>
  <c r="U34" i="10"/>
  <c r="O33" i="10"/>
  <c r="AG304" i="6"/>
  <c r="AH303" i="6"/>
  <c r="BU302" i="6"/>
  <c r="BW303" i="6"/>
  <c r="AN304" i="6"/>
  <c r="AO303" i="6"/>
  <c r="AR301" i="6"/>
  <c r="AR300" i="6" s="1"/>
  <c r="AR299" i="6" s="1"/>
  <c r="AR298" i="6" s="1"/>
  <c r="AR297" i="6" s="1"/>
  <c r="AR296" i="6" s="1"/>
  <c r="AR295" i="6" s="1"/>
  <c r="AR294" i="6" s="1"/>
  <c r="AR293" i="6" s="1"/>
  <c r="AR292" i="6" s="1"/>
  <c r="AR291" i="6" s="1"/>
  <c r="AR290" i="6" s="1"/>
  <c r="AR289" i="6" s="1"/>
  <c r="AR288" i="6" s="1"/>
  <c r="AR287" i="6" s="1"/>
  <c r="AR286" i="6" s="1"/>
  <c r="AR285" i="6" s="1"/>
  <c r="AR284" i="6" s="1"/>
  <c r="AR283" i="6" s="1"/>
  <c r="AR282" i="6" s="1"/>
  <c r="AR281" i="6" s="1"/>
  <c r="AR280" i="6" s="1"/>
  <c r="AR279" i="6" s="1"/>
  <c r="AR278" i="6" s="1"/>
  <c r="AR277" i="6" s="1"/>
  <c r="AR276" i="6" s="1"/>
  <c r="AR275" i="6" s="1"/>
  <c r="AR274" i="6" s="1"/>
  <c r="AR273" i="6" s="1"/>
  <c r="AR272" i="6" s="1"/>
  <c r="AR271" i="6" s="1"/>
  <c r="AR270" i="6" s="1"/>
  <c r="AR269" i="6" s="1"/>
  <c r="AR268" i="6" s="1"/>
  <c r="AR267" i="6" s="1"/>
  <c r="AR266" i="6" s="1"/>
  <c r="AR265" i="6" s="1"/>
  <c r="AR264" i="6" s="1"/>
  <c r="AR263" i="6" s="1"/>
  <c r="AR262" i="6" s="1"/>
  <c r="AR261" i="6" s="1"/>
  <c r="AR260" i="6" s="1"/>
  <c r="AR259" i="6" s="1"/>
  <c r="AR258" i="6" s="1"/>
  <c r="AR257" i="6" s="1"/>
  <c r="AR256" i="6" s="1"/>
  <c r="AR255" i="6" s="1"/>
  <c r="AR254" i="6" s="1"/>
  <c r="AR253" i="6" s="1"/>
  <c r="AR252" i="6" s="1"/>
  <c r="AR251" i="6" s="1"/>
  <c r="AR250" i="6" s="1"/>
  <c r="AR249" i="6" s="1"/>
  <c r="AR248" i="6" s="1"/>
  <c r="AR247" i="6" s="1"/>
  <c r="AR246" i="6" s="1"/>
  <c r="AR245" i="6" s="1"/>
  <c r="AR244" i="6" s="1"/>
  <c r="AR243" i="6" s="1"/>
  <c r="AR242" i="6" s="1"/>
  <c r="AR241" i="6" s="1"/>
  <c r="AR240" i="6" s="1"/>
  <c r="AR239" i="6" s="1"/>
  <c r="AR238" i="6" s="1"/>
  <c r="AR237" i="6" s="1"/>
  <c r="AR236" i="6" s="1"/>
  <c r="AR235" i="6" s="1"/>
  <c r="AR234" i="6" s="1"/>
  <c r="AR233" i="6" s="1"/>
  <c r="AR232" i="6" s="1"/>
  <c r="AR231" i="6" s="1"/>
  <c r="AR230" i="6" s="1"/>
  <c r="AR229" i="6" s="1"/>
  <c r="AR228" i="6" s="1"/>
  <c r="AR227" i="6" s="1"/>
  <c r="AR226" i="6" s="1"/>
  <c r="AR225" i="6" s="1"/>
  <c r="AR224" i="6" s="1"/>
  <c r="AR223" i="6" s="1"/>
  <c r="AR222" i="6" s="1"/>
  <c r="AR221" i="6" s="1"/>
  <c r="AR220" i="6" s="1"/>
  <c r="AR219" i="6" s="1"/>
  <c r="AR218" i="6" s="1"/>
  <c r="AR217" i="6" s="1"/>
  <c r="AR216" i="6" s="1"/>
  <c r="AR215" i="6" s="1"/>
  <c r="AR214" i="6" s="1"/>
  <c r="AR213" i="6" s="1"/>
  <c r="AR212" i="6" s="1"/>
  <c r="AR211" i="6" s="1"/>
  <c r="AR210" i="6" s="1"/>
  <c r="AR209" i="6" s="1"/>
  <c r="AR208" i="6" s="1"/>
  <c r="AR207" i="6" s="1"/>
  <c r="AR206" i="6" s="1"/>
  <c r="AR205" i="6" s="1"/>
  <c r="AR204" i="6" s="1"/>
  <c r="AR203" i="6" s="1"/>
  <c r="AR202" i="6" s="1"/>
  <c r="AR201" i="6" s="1"/>
  <c r="AR200" i="6" s="1"/>
  <c r="AR199" i="6" s="1"/>
  <c r="AR198" i="6" s="1"/>
  <c r="AR197" i="6" s="1"/>
  <c r="AR196" i="6" s="1"/>
  <c r="AR195" i="6" s="1"/>
  <c r="AR194" i="6" s="1"/>
  <c r="AR193" i="6" s="1"/>
  <c r="AR192" i="6" s="1"/>
  <c r="AR191" i="6" s="1"/>
  <c r="AR190" i="6" s="1"/>
  <c r="AR189" i="6" s="1"/>
  <c r="AR188" i="6" s="1"/>
  <c r="AR187" i="6" s="1"/>
  <c r="AR186" i="6" s="1"/>
  <c r="AR185" i="6" s="1"/>
  <c r="AR184" i="6" s="1"/>
  <c r="AR183" i="6" s="1"/>
  <c r="AR182" i="6" s="1"/>
  <c r="AR181" i="6" s="1"/>
  <c r="AR180" i="6" s="1"/>
  <c r="AR179" i="6" s="1"/>
  <c r="AR178" i="6" s="1"/>
  <c r="AR177" i="6" s="1"/>
  <c r="AR176" i="6" s="1"/>
  <c r="AR175" i="6" s="1"/>
  <c r="AR174" i="6" s="1"/>
  <c r="AR173" i="6" s="1"/>
  <c r="AR172" i="6" s="1"/>
  <c r="AR171" i="6" s="1"/>
  <c r="AR170" i="6" s="1"/>
  <c r="AR169" i="6" s="1"/>
  <c r="AR168" i="6" s="1"/>
  <c r="AR167" i="6" s="1"/>
  <c r="AR166" i="6" s="1"/>
  <c r="AR165" i="6" s="1"/>
  <c r="AR164" i="6" s="1"/>
  <c r="AR162" i="6" s="1"/>
  <c r="AR161" i="6" s="1"/>
  <c r="AR160" i="6" s="1"/>
  <c r="AR159" i="6" s="1"/>
  <c r="AR158" i="6" s="1"/>
  <c r="AR157" i="6" s="1"/>
  <c r="AR156" i="6" s="1"/>
  <c r="AR155" i="6" s="1"/>
  <c r="AR154" i="6" s="1"/>
  <c r="AR153" i="6" s="1"/>
  <c r="AR152" i="6" s="1"/>
  <c r="AR151" i="6" s="1"/>
  <c r="AR150" i="6" s="1"/>
  <c r="AR149" i="6" s="1"/>
  <c r="AR148" i="6" s="1"/>
  <c r="AR147" i="6" s="1"/>
  <c r="AR146" i="6" s="1"/>
  <c r="AR145" i="6" s="1"/>
  <c r="AR144" i="6" s="1"/>
  <c r="AR143" i="6" s="1"/>
  <c r="AR142" i="6" s="1"/>
  <c r="AR141" i="6" s="1"/>
  <c r="AR140" i="6" s="1"/>
  <c r="AR139" i="6" s="1"/>
  <c r="AR138" i="6" s="1"/>
  <c r="AR137" i="6" s="1"/>
  <c r="AR136" i="6" s="1"/>
  <c r="AR135" i="6" s="1"/>
  <c r="AR134" i="6" s="1"/>
  <c r="AR133" i="6" s="1"/>
  <c r="AR132" i="6" s="1"/>
  <c r="AR131" i="6" s="1"/>
  <c r="AT131" i="6" s="1"/>
  <c r="AK301" i="6"/>
  <c r="AK300" i="6" s="1"/>
  <c r="AK299" i="6" s="1"/>
  <c r="AK298" i="6" s="1"/>
  <c r="AK297" i="6" s="1"/>
  <c r="AK296" i="6" s="1"/>
  <c r="AK295" i="6" s="1"/>
  <c r="AK294" i="6" s="1"/>
  <c r="AK293" i="6" s="1"/>
  <c r="AK292" i="6" s="1"/>
  <c r="AK291" i="6" s="1"/>
  <c r="AK290" i="6" s="1"/>
  <c r="AK289" i="6" s="1"/>
  <c r="AK288" i="6" s="1"/>
  <c r="AK287" i="6" s="1"/>
  <c r="AK286" i="6" s="1"/>
  <c r="AK285" i="6" s="1"/>
  <c r="AK284" i="6" s="1"/>
  <c r="AK283" i="6" s="1"/>
  <c r="AK282" i="6" s="1"/>
  <c r="AK281" i="6" s="1"/>
  <c r="AK280" i="6" s="1"/>
  <c r="AK279" i="6" s="1"/>
  <c r="AK278" i="6" s="1"/>
  <c r="AK277" i="6" s="1"/>
  <c r="AK276" i="6" s="1"/>
  <c r="AK275" i="6" s="1"/>
  <c r="AK274" i="6" s="1"/>
  <c r="AK273" i="6" s="1"/>
  <c r="AK272" i="6" s="1"/>
  <c r="AK271" i="6" s="1"/>
  <c r="AK270" i="6" s="1"/>
  <c r="AK269" i="6" s="1"/>
  <c r="AK268" i="6" s="1"/>
  <c r="AK267" i="6" s="1"/>
  <c r="AK266" i="6" s="1"/>
  <c r="AK265" i="6" s="1"/>
  <c r="AK264" i="6" s="1"/>
  <c r="AK263" i="6" s="1"/>
  <c r="AK262" i="6" s="1"/>
  <c r="AK261" i="6" s="1"/>
  <c r="AK260" i="6" s="1"/>
  <c r="AK259" i="6" s="1"/>
  <c r="AK258" i="6" s="1"/>
  <c r="AK257" i="6" s="1"/>
  <c r="AK256" i="6" s="1"/>
  <c r="AK255" i="6" s="1"/>
  <c r="AK254" i="6" s="1"/>
  <c r="AK253" i="6" s="1"/>
  <c r="AK252" i="6" s="1"/>
  <c r="AK251" i="6" s="1"/>
  <c r="AK250" i="6" s="1"/>
  <c r="AK249" i="6" s="1"/>
  <c r="AK248" i="6" s="1"/>
  <c r="AK247" i="6" s="1"/>
  <c r="AK246" i="6" s="1"/>
  <c r="AK245" i="6" s="1"/>
  <c r="AK244" i="6" s="1"/>
  <c r="AK243" i="6" s="1"/>
  <c r="AK242" i="6" s="1"/>
  <c r="AK241" i="6" s="1"/>
  <c r="AK240" i="6" s="1"/>
  <c r="AK239" i="6" s="1"/>
  <c r="AK238" i="6" s="1"/>
  <c r="AK237" i="6" s="1"/>
  <c r="AK236" i="6" s="1"/>
  <c r="AK235" i="6" s="1"/>
  <c r="AK234" i="6" s="1"/>
  <c r="AK233" i="6" s="1"/>
  <c r="AK232" i="6" s="1"/>
  <c r="AK231" i="6" s="1"/>
  <c r="AK230" i="6" s="1"/>
  <c r="AK229" i="6" s="1"/>
  <c r="AK228" i="6" s="1"/>
  <c r="AK227" i="6" s="1"/>
  <c r="AK226" i="6" s="1"/>
  <c r="AK225" i="6" s="1"/>
  <c r="AK224" i="6" s="1"/>
  <c r="AK223" i="6" s="1"/>
  <c r="AK222" i="6" s="1"/>
  <c r="AK221" i="6" s="1"/>
  <c r="AK220" i="6" s="1"/>
  <c r="AK219" i="6" s="1"/>
  <c r="AK218" i="6" s="1"/>
  <c r="AK217" i="6" s="1"/>
  <c r="AK216" i="6" s="1"/>
  <c r="AK215" i="6" s="1"/>
  <c r="AK214" i="6" s="1"/>
  <c r="AK213" i="6" s="1"/>
  <c r="AK212" i="6" s="1"/>
  <c r="AK211" i="6" s="1"/>
  <c r="AK210" i="6" s="1"/>
  <c r="AK209" i="6" s="1"/>
  <c r="AK208" i="6" s="1"/>
  <c r="AK207" i="6" s="1"/>
  <c r="AK206" i="6" s="1"/>
  <c r="AK205" i="6" s="1"/>
  <c r="AK204" i="6" s="1"/>
  <c r="AK203" i="6" s="1"/>
  <c r="AK202" i="6" s="1"/>
  <c r="AK201" i="6" s="1"/>
  <c r="AK200" i="6" s="1"/>
  <c r="AK199" i="6" s="1"/>
  <c r="AK198" i="6" s="1"/>
  <c r="AK197" i="6" s="1"/>
  <c r="AK196" i="6" s="1"/>
  <c r="AK195" i="6" s="1"/>
  <c r="AK194" i="6" s="1"/>
  <c r="AM301" i="6"/>
  <c r="AM300" i="6" s="1"/>
  <c r="AM299" i="6" s="1"/>
  <c r="AM298" i="6" s="1"/>
  <c r="AM297" i="6" s="1"/>
  <c r="AM296" i="6" s="1"/>
  <c r="AM295" i="6" s="1"/>
  <c r="AM294" i="6" s="1"/>
  <c r="AM293" i="6" s="1"/>
  <c r="AM292" i="6" s="1"/>
  <c r="AM291" i="6" s="1"/>
  <c r="AM290" i="6" s="1"/>
  <c r="AM289" i="6" s="1"/>
  <c r="AM288" i="6" s="1"/>
  <c r="AM287" i="6" s="1"/>
  <c r="AM286" i="6" s="1"/>
  <c r="AM285" i="6" s="1"/>
  <c r="AM284" i="6" s="1"/>
  <c r="AM283" i="6" s="1"/>
  <c r="AM282" i="6" s="1"/>
  <c r="AM281" i="6" s="1"/>
  <c r="AM280" i="6" s="1"/>
  <c r="AM279" i="6" s="1"/>
  <c r="AM278" i="6" s="1"/>
  <c r="AM277" i="6" s="1"/>
  <c r="AM276" i="6" s="1"/>
  <c r="AM275" i="6" s="1"/>
  <c r="AM274" i="6" s="1"/>
  <c r="AM273" i="6" s="1"/>
  <c r="AM272" i="6" s="1"/>
  <c r="AM271" i="6" s="1"/>
  <c r="AM270" i="6" s="1"/>
  <c r="AM269" i="6" s="1"/>
  <c r="AM268" i="6" s="1"/>
  <c r="AM267" i="6" s="1"/>
  <c r="AM266" i="6" s="1"/>
  <c r="AM265" i="6" s="1"/>
  <c r="AM264" i="6" s="1"/>
  <c r="AM263" i="6" s="1"/>
  <c r="AM262" i="6" s="1"/>
  <c r="AM261" i="6" s="1"/>
  <c r="AM260" i="6" s="1"/>
  <c r="AM259" i="6" s="1"/>
  <c r="AM258" i="6" s="1"/>
  <c r="AM257" i="6" s="1"/>
  <c r="AM256" i="6" s="1"/>
  <c r="AM255" i="6" s="1"/>
  <c r="AM254" i="6" s="1"/>
  <c r="AM253" i="6" s="1"/>
  <c r="AM252" i="6" s="1"/>
  <c r="AM251" i="6" s="1"/>
  <c r="AM250" i="6" s="1"/>
  <c r="AM249" i="6" s="1"/>
  <c r="AM248" i="6" s="1"/>
  <c r="AM247" i="6" s="1"/>
  <c r="AM246" i="6" s="1"/>
  <c r="AM245" i="6" s="1"/>
  <c r="AM244" i="6" s="1"/>
  <c r="AM243" i="6" s="1"/>
  <c r="AM242" i="6" s="1"/>
  <c r="AM241" i="6" s="1"/>
  <c r="AM240" i="6" s="1"/>
  <c r="AM239" i="6" s="1"/>
  <c r="AM238" i="6" s="1"/>
  <c r="AM237" i="6" s="1"/>
  <c r="AM236" i="6" s="1"/>
  <c r="AM235" i="6" s="1"/>
  <c r="AM234" i="6" s="1"/>
  <c r="AM233" i="6" s="1"/>
  <c r="AM232" i="6" s="1"/>
  <c r="AM231" i="6" s="1"/>
  <c r="AM230" i="6" s="1"/>
  <c r="AM229" i="6" s="1"/>
  <c r="AM228" i="6" s="1"/>
  <c r="AM227" i="6" s="1"/>
  <c r="AM226" i="6" s="1"/>
  <c r="AM225" i="6" s="1"/>
  <c r="AM224" i="6" s="1"/>
  <c r="AM223" i="6" s="1"/>
  <c r="AM222" i="6" s="1"/>
  <c r="AM221" i="6" s="1"/>
  <c r="AM220" i="6" s="1"/>
  <c r="AM219" i="6" s="1"/>
  <c r="AM218" i="6" s="1"/>
  <c r="AM217" i="6" s="1"/>
  <c r="AM216" i="6" s="1"/>
  <c r="AM215" i="6" s="1"/>
  <c r="AM214" i="6" s="1"/>
  <c r="AM213" i="6" s="1"/>
  <c r="AM212" i="6" s="1"/>
  <c r="AM211" i="6" s="1"/>
  <c r="AM210" i="6" s="1"/>
  <c r="AM209" i="6" s="1"/>
  <c r="AM208" i="6" s="1"/>
  <c r="AM207" i="6" s="1"/>
  <c r="AM206" i="6" s="1"/>
  <c r="AM205" i="6" s="1"/>
  <c r="AM204" i="6" s="1"/>
  <c r="AM203" i="6" s="1"/>
  <c r="AM202" i="6" s="1"/>
  <c r="AM201" i="6" s="1"/>
  <c r="AM200" i="6" s="1"/>
  <c r="AM199" i="6" s="1"/>
  <c r="AM198" i="6" s="1"/>
  <c r="AM197" i="6" s="1"/>
  <c r="AM196" i="6" s="1"/>
  <c r="AM195" i="6" s="1"/>
  <c r="AM194" i="6" s="1"/>
  <c r="AM193" i="6" s="1"/>
  <c r="AM192" i="6" s="1"/>
  <c r="AM191" i="6" s="1"/>
  <c r="AM190" i="6" s="1"/>
  <c r="AM189" i="6" s="1"/>
  <c r="AM188" i="6" s="1"/>
  <c r="AM187" i="6" s="1"/>
  <c r="AM186" i="6" s="1"/>
  <c r="AM185" i="6" s="1"/>
  <c r="AM184" i="6" s="1"/>
  <c r="AM183" i="6" s="1"/>
  <c r="AM182" i="6" s="1"/>
  <c r="AM181" i="6" s="1"/>
  <c r="AM180" i="6" s="1"/>
  <c r="AM179" i="6" s="1"/>
  <c r="AM178" i="6" s="1"/>
  <c r="AM177" i="6" s="1"/>
  <c r="AM176" i="6" s="1"/>
  <c r="AM175" i="6" s="1"/>
  <c r="AM174" i="6" s="1"/>
  <c r="AM173" i="6" s="1"/>
  <c r="AM172" i="6" s="1"/>
  <c r="AM171" i="6" s="1"/>
  <c r="AM170" i="6" s="1"/>
  <c r="AM169" i="6" s="1"/>
  <c r="AM168" i="6" s="1"/>
  <c r="AM167" i="6" s="1"/>
  <c r="AM166" i="6" s="1"/>
  <c r="AM165" i="6" s="1"/>
  <c r="AM164" i="6" s="1"/>
  <c r="AM163" i="6" s="1"/>
  <c r="AM162" i="6" s="1"/>
  <c r="AM161" i="6" s="1"/>
  <c r="AM160" i="6" s="1"/>
  <c r="AM159" i="6" s="1"/>
  <c r="AM158" i="6" s="1"/>
  <c r="AM157" i="6" s="1"/>
  <c r="AM156" i="6" s="1"/>
  <c r="AM155" i="6" s="1"/>
  <c r="AM154" i="6" s="1"/>
  <c r="AM153" i="6" s="1"/>
  <c r="AM152" i="6" s="1"/>
  <c r="AM151" i="6" s="1"/>
  <c r="AM150" i="6" s="1"/>
  <c r="AM149" i="6" s="1"/>
  <c r="AM148" i="6" s="1"/>
  <c r="AM147" i="6" s="1"/>
  <c r="AM146" i="6" s="1"/>
  <c r="AM145" i="6" s="1"/>
  <c r="AM144" i="6" s="1"/>
  <c r="AM143" i="6" s="1"/>
  <c r="AM142" i="6" s="1"/>
  <c r="AM141" i="6" s="1"/>
  <c r="AM140" i="6" s="1"/>
  <c r="AM139" i="6" s="1"/>
  <c r="AM138" i="6" s="1"/>
  <c r="AM137" i="6" s="1"/>
  <c r="AM136" i="6" s="1"/>
  <c r="AM135" i="6" s="1"/>
  <c r="AM134" i="6" s="1"/>
  <c r="AM133" i="6" s="1"/>
  <c r="AM132" i="6" s="1"/>
  <c r="AM131" i="6" s="1"/>
  <c r="AM130" i="6" s="1"/>
  <c r="AM129" i="6" s="1"/>
  <c r="AM128" i="6" s="1"/>
  <c r="AM127" i="6" s="1"/>
  <c r="AD300" i="6"/>
  <c r="AD299" i="6" s="1"/>
  <c r="AD298" i="6" s="1"/>
  <c r="AD297" i="6" s="1"/>
  <c r="AD296" i="6" s="1"/>
  <c r="AD295" i="6" s="1"/>
  <c r="AD294" i="6" s="1"/>
  <c r="AD293" i="6" s="1"/>
  <c r="AD292" i="6" s="1"/>
  <c r="AD291" i="6" s="1"/>
  <c r="AD290" i="6" s="1"/>
  <c r="AD289" i="6" s="1"/>
  <c r="AD288" i="6" s="1"/>
  <c r="AD287" i="6" s="1"/>
  <c r="AD286" i="6" s="1"/>
  <c r="AD285" i="6" s="1"/>
  <c r="AD284" i="6" s="1"/>
  <c r="AD283" i="6" s="1"/>
  <c r="AD282" i="6" s="1"/>
  <c r="AD281" i="6" s="1"/>
  <c r="AD280" i="6" s="1"/>
  <c r="AD279" i="6" s="1"/>
  <c r="AD278" i="6" s="1"/>
  <c r="AD277" i="6" s="1"/>
  <c r="AD276" i="6" s="1"/>
  <c r="AD275" i="6" s="1"/>
  <c r="AD274" i="6" s="1"/>
  <c r="AD273" i="6" s="1"/>
  <c r="AD272" i="6" s="1"/>
  <c r="AD271" i="6" s="1"/>
  <c r="AD270" i="6" s="1"/>
  <c r="AD269" i="6" s="1"/>
  <c r="AD268" i="6" s="1"/>
  <c r="AD267" i="6" s="1"/>
  <c r="AD266" i="6" s="1"/>
  <c r="AD265" i="6" s="1"/>
  <c r="AD264" i="6" s="1"/>
  <c r="AD263" i="6" s="1"/>
  <c r="AD262" i="6" s="1"/>
  <c r="AD261" i="6" s="1"/>
  <c r="AD260" i="6" s="1"/>
  <c r="AD259" i="6" s="1"/>
  <c r="AD258" i="6" s="1"/>
  <c r="AD257" i="6" s="1"/>
  <c r="AD256" i="6" s="1"/>
  <c r="AD255" i="6" s="1"/>
  <c r="AD254" i="6" s="1"/>
  <c r="AD253" i="6" s="1"/>
  <c r="AD252" i="6" s="1"/>
  <c r="AD251" i="6" s="1"/>
  <c r="AD250" i="6" s="1"/>
  <c r="AD249" i="6" s="1"/>
  <c r="AD248" i="6" s="1"/>
  <c r="AD247" i="6" s="1"/>
  <c r="AD246" i="6" s="1"/>
  <c r="AD245" i="6" s="1"/>
  <c r="AD244" i="6" s="1"/>
  <c r="AD243" i="6" s="1"/>
  <c r="AD242" i="6" s="1"/>
  <c r="AD241" i="6" s="1"/>
  <c r="AD240" i="6" s="1"/>
  <c r="AD239" i="6" s="1"/>
  <c r="AD238" i="6" s="1"/>
  <c r="AD237" i="6" s="1"/>
  <c r="AD236" i="6" s="1"/>
  <c r="AD235" i="6" s="1"/>
  <c r="AD234" i="6" s="1"/>
  <c r="AD233" i="6" s="1"/>
  <c r="AD232" i="6" s="1"/>
  <c r="AD231" i="6" s="1"/>
  <c r="AD230" i="6" s="1"/>
  <c r="AD229" i="6" s="1"/>
  <c r="AD228" i="6" s="1"/>
  <c r="AD227" i="6" s="1"/>
  <c r="AD226" i="6" s="1"/>
  <c r="AD225" i="6" s="1"/>
  <c r="AD224" i="6" s="1"/>
  <c r="AD223" i="6" s="1"/>
  <c r="AD222" i="6" s="1"/>
  <c r="AD221" i="6" s="1"/>
  <c r="AD220" i="6" s="1"/>
  <c r="AD219" i="6" s="1"/>
  <c r="AD218" i="6" s="1"/>
  <c r="AD217" i="6" s="1"/>
  <c r="AD216" i="6" s="1"/>
  <c r="AD215" i="6" s="1"/>
  <c r="AD214" i="6" s="1"/>
  <c r="AD213" i="6" s="1"/>
  <c r="AD212" i="6" s="1"/>
  <c r="AD211" i="6" s="1"/>
  <c r="AD210" i="6" s="1"/>
  <c r="AD209" i="6" s="1"/>
  <c r="AD208" i="6" s="1"/>
  <c r="AD207" i="6" s="1"/>
  <c r="AD206" i="6" s="1"/>
  <c r="AD205" i="6" s="1"/>
  <c r="AD204" i="6" s="1"/>
  <c r="AD203" i="6" s="1"/>
  <c r="AD202" i="6" s="1"/>
  <c r="AD201" i="6" s="1"/>
  <c r="AD200" i="6" s="1"/>
  <c r="AD199" i="6" s="1"/>
  <c r="AD198" i="6" s="1"/>
  <c r="AD197" i="6" s="1"/>
  <c r="AD196" i="6" s="1"/>
  <c r="AD195" i="6" s="1"/>
  <c r="AD194" i="6" s="1"/>
  <c r="AD193" i="6" s="1"/>
  <c r="AD192" i="6" s="1"/>
  <c r="AD191" i="6" s="1"/>
  <c r="AD190" i="6" s="1"/>
  <c r="AD189" i="6" s="1"/>
  <c r="AD188" i="6" s="1"/>
  <c r="AD187" i="6" s="1"/>
  <c r="AD186" i="6" s="1"/>
  <c r="AD185" i="6" s="1"/>
  <c r="AD184" i="6" s="1"/>
  <c r="AF300" i="6"/>
  <c r="AF299" i="6" s="1"/>
  <c r="Y301" i="6"/>
  <c r="Y300" i="6" s="1"/>
  <c r="AA301" i="6"/>
  <c r="AA300" i="6" s="1"/>
  <c r="AA299" i="6" s="1"/>
  <c r="AA298" i="6" s="1"/>
  <c r="AA297" i="6" s="1"/>
  <c r="AA296" i="6" s="1"/>
  <c r="AA295" i="6" s="1"/>
  <c r="AA294" i="6" s="1"/>
  <c r="AA293" i="6" s="1"/>
  <c r="AA292" i="6" s="1"/>
  <c r="AA291" i="6" s="1"/>
  <c r="AA290" i="6" s="1"/>
  <c r="AA289" i="6" s="1"/>
  <c r="AA288" i="6" s="1"/>
  <c r="AA287" i="6" s="1"/>
  <c r="AA286" i="6" s="1"/>
  <c r="AA285" i="6" s="1"/>
  <c r="AA284" i="6" s="1"/>
  <c r="AA283" i="6" s="1"/>
  <c r="AA282" i="6" s="1"/>
  <c r="AA281" i="6" s="1"/>
  <c r="AA280" i="6" s="1"/>
  <c r="AA279" i="6" s="1"/>
  <c r="AA278" i="6" s="1"/>
  <c r="AA277" i="6" s="1"/>
  <c r="AA276" i="6" s="1"/>
  <c r="AA275" i="6" s="1"/>
  <c r="AA274" i="6" s="1"/>
  <c r="AA273" i="6" s="1"/>
  <c r="AA272" i="6" s="1"/>
  <c r="AA271" i="6" s="1"/>
  <c r="AA270" i="6" s="1"/>
  <c r="AA269" i="6" s="1"/>
  <c r="AA268" i="6" s="1"/>
  <c r="AA267" i="6" s="1"/>
  <c r="AA266" i="6" s="1"/>
  <c r="AA265" i="6" s="1"/>
  <c r="AA264" i="6" s="1"/>
  <c r="AA263" i="6" s="1"/>
  <c r="AA262" i="6" s="1"/>
  <c r="AA261" i="6" s="1"/>
  <c r="AA260" i="6" s="1"/>
  <c r="AA259" i="6" s="1"/>
  <c r="AA258" i="6" s="1"/>
  <c r="AA257" i="6" s="1"/>
  <c r="AA256" i="6" s="1"/>
  <c r="AA255" i="6" s="1"/>
  <c r="AA254" i="6" s="1"/>
  <c r="AA253" i="6" s="1"/>
  <c r="AA252" i="6" s="1"/>
  <c r="AA251" i="6" s="1"/>
  <c r="AA250" i="6" s="1"/>
  <c r="AA249" i="6" s="1"/>
  <c r="AA248" i="6" s="1"/>
  <c r="AA247" i="6" s="1"/>
  <c r="AA246" i="6" s="1"/>
  <c r="AA245" i="6" s="1"/>
  <c r="AA244" i="6" s="1"/>
  <c r="AA243" i="6" s="1"/>
  <c r="AA242" i="6" s="1"/>
  <c r="AA241" i="6" s="1"/>
  <c r="AA240" i="6" s="1"/>
  <c r="AA239" i="6" s="1"/>
  <c r="AA238" i="6" s="1"/>
  <c r="AA237" i="6" s="1"/>
  <c r="AA236" i="6" s="1"/>
  <c r="AA235" i="6" s="1"/>
  <c r="AA234" i="6" s="1"/>
  <c r="AA233" i="6" s="1"/>
  <c r="AA232" i="6" s="1"/>
  <c r="AA231" i="6" s="1"/>
  <c r="AA230" i="6" s="1"/>
  <c r="AA229" i="6" s="1"/>
  <c r="AA228" i="6" s="1"/>
  <c r="AA227" i="6" s="1"/>
  <c r="AA226" i="6" s="1"/>
  <c r="AA225" i="6" s="1"/>
  <c r="AA224" i="6" s="1"/>
  <c r="AA223" i="6" s="1"/>
  <c r="AA222" i="6" s="1"/>
  <c r="AA221" i="6" s="1"/>
  <c r="AA220" i="6" s="1"/>
  <c r="AA219" i="6" s="1"/>
  <c r="AA218" i="6" s="1"/>
  <c r="AA217" i="6" s="1"/>
  <c r="AA216" i="6" s="1"/>
  <c r="AA215" i="6" s="1"/>
  <c r="AA214" i="6" s="1"/>
  <c r="AA213" i="6" s="1"/>
  <c r="AA212" i="6" s="1"/>
  <c r="AA211" i="6" s="1"/>
  <c r="AA210" i="6" s="1"/>
  <c r="AA209" i="6" s="1"/>
  <c r="AA208" i="6" s="1"/>
  <c r="AA207" i="6" s="1"/>
  <c r="AA206" i="6" s="1"/>
  <c r="AA205" i="6" s="1"/>
  <c r="AA204" i="6" s="1"/>
  <c r="AA203" i="6" s="1"/>
  <c r="AA202" i="6" s="1"/>
  <c r="AA201" i="6" s="1"/>
  <c r="AA200" i="6" s="1"/>
  <c r="AA199" i="6" s="1"/>
  <c r="AA198" i="6" s="1"/>
  <c r="AA197" i="6" s="1"/>
  <c r="AA196" i="6" s="1"/>
  <c r="AA195" i="6" s="1"/>
  <c r="AA194" i="6" s="1"/>
  <c r="AA193" i="6" s="1"/>
  <c r="AA192" i="6" s="1"/>
  <c r="AA191" i="6" s="1"/>
  <c r="AA190" i="6" s="1"/>
  <c r="AA189" i="6" s="1"/>
  <c r="AA188" i="6" s="1"/>
  <c r="AA187" i="6" s="1"/>
  <c r="AA186" i="6" s="1"/>
  <c r="AA185" i="6" s="1"/>
  <c r="AA184" i="6" s="1"/>
  <c r="AA183" i="6" s="1"/>
  <c r="AA182" i="6" s="1"/>
  <c r="AA181" i="6" s="1"/>
  <c r="AA180" i="6" s="1"/>
  <c r="AA179" i="6" s="1"/>
  <c r="AA178" i="6" s="1"/>
  <c r="AA177" i="6" s="1"/>
  <c r="AA176" i="6" s="1"/>
  <c r="AA175" i="6" s="1"/>
  <c r="AA174" i="6" s="1"/>
  <c r="AA173" i="6" s="1"/>
  <c r="AA172" i="6" s="1"/>
  <c r="AA171" i="6" s="1"/>
  <c r="AA170" i="6" s="1"/>
  <c r="AA169" i="6" s="1"/>
  <c r="AA168" i="6" s="1"/>
  <c r="AA167" i="6" s="1"/>
  <c r="AA166" i="6" s="1"/>
  <c r="AA165" i="6" s="1"/>
  <c r="AA164" i="6" s="1"/>
  <c r="AA163" i="6" s="1"/>
  <c r="AA162" i="6" s="1"/>
  <c r="AA161" i="6" s="1"/>
  <c r="AA160" i="6" s="1"/>
  <c r="AA159" i="6" s="1"/>
  <c r="AA158" i="6" s="1"/>
  <c r="AA157" i="6" s="1"/>
  <c r="AA156" i="6" s="1"/>
  <c r="AA155" i="6" s="1"/>
  <c r="AA154" i="6" s="1"/>
  <c r="AA153" i="6" s="1"/>
  <c r="AA152" i="6" s="1"/>
  <c r="AA151" i="6" s="1"/>
  <c r="AA150" i="6" s="1"/>
  <c r="AA149" i="6" s="1"/>
  <c r="AA148" i="6" s="1"/>
  <c r="AA147" i="6" s="1"/>
  <c r="AA146" i="6" s="1"/>
  <c r="AA145" i="6" s="1"/>
  <c r="AA144" i="6" s="1"/>
  <c r="AA143" i="6" s="1"/>
  <c r="AA142" i="6" s="1"/>
  <c r="AA141" i="6" s="1"/>
  <c r="AA140" i="6" s="1"/>
  <c r="AA139" i="6" s="1"/>
  <c r="AA138" i="6" s="1"/>
  <c r="AA137" i="6" s="1"/>
  <c r="AA136" i="6" s="1"/>
  <c r="AA135" i="6" s="1"/>
  <c r="AA134" i="6" s="1"/>
  <c r="AA133" i="6" s="1"/>
  <c r="AA132" i="6" s="1"/>
  <c r="AA131" i="6" s="1"/>
  <c r="AA130" i="6" s="1"/>
  <c r="AA129" i="6" s="1"/>
  <c r="AA128" i="6" s="1"/>
  <c r="AA127" i="6" s="1"/>
  <c r="R301" i="6"/>
  <c r="R300" i="6" s="1"/>
  <c r="T301" i="6"/>
  <c r="T300" i="6" s="1"/>
  <c r="T299" i="6" s="1"/>
  <c r="T298" i="6" s="1"/>
  <c r="T297" i="6" s="1"/>
  <c r="T296" i="6" s="1"/>
  <c r="T295" i="6" s="1"/>
  <c r="T294" i="6" s="1"/>
  <c r="T293" i="6" s="1"/>
  <c r="T292" i="6" s="1"/>
  <c r="T291" i="6" s="1"/>
  <c r="T290" i="6" s="1"/>
  <c r="T289" i="6" s="1"/>
  <c r="T288" i="6" s="1"/>
  <c r="T287" i="6" s="1"/>
  <c r="T286" i="6" s="1"/>
  <c r="T285" i="6" s="1"/>
  <c r="T284" i="6" s="1"/>
  <c r="T283" i="6" s="1"/>
  <c r="T282" i="6" s="1"/>
  <c r="T281" i="6" s="1"/>
  <c r="T280" i="6" s="1"/>
  <c r="T279" i="6" s="1"/>
  <c r="T278" i="6" s="1"/>
  <c r="T277" i="6" s="1"/>
  <c r="T276" i="6" s="1"/>
  <c r="T275" i="6" s="1"/>
  <c r="T274" i="6" s="1"/>
  <c r="T273" i="6" s="1"/>
  <c r="T272" i="6" s="1"/>
  <c r="T271" i="6" s="1"/>
  <c r="T270" i="6" s="1"/>
  <c r="T269" i="6" s="1"/>
  <c r="T268" i="6" s="1"/>
  <c r="T267" i="6" s="1"/>
  <c r="T266" i="6" s="1"/>
  <c r="T265" i="6" s="1"/>
  <c r="T264" i="6" s="1"/>
  <c r="T263" i="6" s="1"/>
  <c r="T262" i="6" s="1"/>
  <c r="T261" i="6" s="1"/>
  <c r="T260" i="6" s="1"/>
  <c r="T259" i="6" s="1"/>
  <c r="T258" i="6" s="1"/>
  <c r="T257" i="6" s="1"/>
  <c r="T256" i="6" s="1"/>
  <c r="T255" i="6" s="1"/>
  <c r="T254" i="6" s="1"/>
  <c r="T253" i="6" s="1"/>
  <c r="T252" i="6" s="1"/>
  <c r="T251" i="6" s="1"/>
  <c r="T250" i="6" s="1"/>
  <c r="T249" i="6" s="1"/>
  <c r="T248" i="6" s="1"/>
  <c r="T247" i="6" s="1"/>
  <c r="T246" i="6" s="1"/>
  <c r="T245" i="6" s="1"/>
  <c r="T244" i="6" s="1"/>
  <c r="T243" i="6" s="1"/>
  <c r="T242" i="6" s="1"/>
  <c r="T241" i="6" s="1"/>
  <c r="T240" i="6" s="1"/>
  <c r="T239" i="6" s="1"/>
  <c r="T238" i="6" s="1"/>
  <c r="T237" i="6" s="1"/>
  <c r="T236" i="6" s="1"/>
  <c r="T235" i="6" s="1"/>
  <c r="T234" i="6" s="1"/>
  <c r="T233" i="6" s="1"/>
  <c r="T232" i="6" s="1"/>
  <c r="T231" i="6" s="1"/>
  <c r="T230" i="6" s="1"/>
  <c r="T229" i="6" s="1"/>
  <c r="T228" i="6" s="1"/>
  <c r="T227" i="6" s="1"/>
  <c r="T226" i="6" s="1"/>
  <c r="T225" i="6" s="1"/>
  <c r="T224" i="6" s="1"/>
  <c r="T223" i="6" s="1"/>
  <c r="T222" i="6" s="1"/>
  <c r="T221" i="6" s="1"/>
  <c r="T220" i="6" s="1"/>
  <c r="T219" i="6" s="1"/>
  <c r="T218" i="6" s="1"/>
  <c r="T217" i="6" s="1"/>
  <c r="T216" i="6" s="1"/>
  <c r="T215" i="6" s="1"/>
  <c r="T214" i="6" s="1"/>
  <c r="T213" i="6" s="1"/>
  <c r="T212" i="6" s="1"/>
  <c r="T211" i="6" s="1"/>
  <c r="T210" i="6" s="1"/>
  <c r="T209" i="6" s="1"/>
  <c r="T208" i="6" s="1"/>
  <c r="T207" i="6" s="1"/>
  <c r="T206" i="6" s="1"/>
  <c r="T205" i="6" s="1"/>
  <c r="T204" i="6" s="1"/>
  <c r="T203" i="6" s="1"/>
  <c r="T202" i="6" s="1"/>
  <c r="T201" i="6" s="1"/>
  <c r="T200" i="6" s="1"/>
  <c r="T199" i="6" s="1"/>
  <c r="T198" i="6" s="1"/>
  <c r="T197" i="6" s="1"/>
  <c r="T196" i="6" s="1"/>
  <c r="T195" i="6" s="1"/>
  <c r="T194" i="6" s="1"/>
  <c r="T193" i="6" s="1"/>
  <c r="T192" i="6" s="1"/>
  <c r="T191" i="6" s="1"/>
  <c r="T190" i="6" s="1"/>
  <c r="T189" i="6" s="1"/>
  <c r="T188" i="6" s="1"/>
  <c r="T187" i="6" s="1"/>
  <c r="T186" i="6" s="1"/>
  <c r="T185" i="6" s="1"/>
  <c r="T184" i="6" s="1"/>
  <c r="T183" i="6" s="1"/>
  <c r="T182" i="6" s="1"/>
  <c r="T181" i="6" s="1"/>
  <c r="T180" i="6" s="1"/>
  <c r="T179" i="6" s="1"/>
  <c r="T178" i="6" s="1"/>
  <c r="T177" i="6" s="1"/>
  <c r="T176" i="6" s="1"/>
  <c r="T175" i="6" s="1"/>
  <c r="T174" i="6" s="1"/>
  <c r="T173" i="6" s="1"/>
  <c r="T172" i="6" s="1"/>
  <c r="T171" i="6" s="1"/>
  <c r="T170" i="6" s="1"/>
  <c r="T169" i="6" s="1"/>
  <c r="T168" i="6" s="1"/>
  <c r="T167" i="6" s="1"/>
  <c r="T166" i="6" s="1"/>
  <c r="T165" i="6" s="1"/>
  <c r="T164" i="6" s="1"/>
  <c r="V301" i="6"/>
  <c r="V300" i="6" s="1"/>
  <c r="V299" i="6" s="1"/>
  <c r="V298" i="6" s="1"/>
  <c r="V297" i="6" s="1"/>
  <c r="V296" i="6" s="1"/>
  <c r="V295" i="6" s="1"/>
  <c r="V294" i="6" s="1"/>
  <c r="V293" i="6" s="1"/>
  <c r="V292" i="6" s="1"/>
  <c r="V291" i="6" s="1"/>
  <c r="V290" i="6" s="1"/>
  <c r="V289" i="6" s="1"/>
  <c r="V288" i="6" s="1"/>
  <c r="V287" i="6" s="1"/>
  <c r="V286" i="6" s="1"/>
  <c r="V285" i="6" s="1"/>
  <c r="V284" i="6" s="1"/>
  <c r="V283" i="6" s="1"/>
  <c r="V282" i="6" s="1"/>
  <c r="V281" i="6" s="1"/>
  <c r="V280" i="6" s="1"/>
  <c r="V279" i="6" s="1"/>
  <c r="V278" i="6" s="1"/>
  <c r="V277" i="6" s="1"/>
  <c r="V276" i="6" s="1"/>
  <c r="V275" i="6" s="1"/>
  <c r="V274" i="6" s="1"/>
  <c r="V273" i="6" s="1"/>
  <c r="V272" i="6" s="1"/>
  <c r="V271" i="6" s="1"/>
  <c r="V270" i="6" s="1"/>
  <c r="V269" i="6" s="1"/>
  <c r="V268" i="6" s="1"/>
  <c r="V267" i="6" s="1"/>
  <c r="V266" i="6" s="1"/>
  <c r="V265" i="6" s="1"/>
  <c r="V264" i="6" s="1"/>
  <c r="V263" i="6" s="1"/>
  <c r="V262" i="6" s="1"/>
  <c r="V261" i="6" s="1"/>
  <c r="V260" i="6" s="1"/>
  <c r="V259" i="6" s="1"/>
  <c r="V258" i="6" s="1"/>
  <c r="V257" i="6" s="1"/>
  <c r="V256" i="6" s="1"/>
  <c r="V255" i="6" s="1"/>
  <c r="V254" i="6" s="1"/>
  <c r="V253" i="6" s="1"/>
  <c r="V252" i="6" s="1"/>
  <c r="V251" i="6" s="1"/>
  <c r="V250" i="6" s="1"/>
  <c r="V249" i="6" s="1"/>
  <c r="V248" i="6" s="1"/>
  <c r="V247" i="6" s="1"/>
  <c r="V246" i="6" s="1"/>
  <c r="V245" i="6" s="1"/>
  <c r="V244" i="6" s="1"/>
  <c r="V243" i="6" s="1"/>
  <c r="V242" i="6" s="1"/>
  <c r="V241" i="6" s="1"/>
  <c r="V240" i="6" s="1"/>
  <c r="V239" i="6" s="1"/>
  <c r="V238" i="6" s="1"/>
  <c r="V237" i="6" s="1"/>
  <c r="V236" i="6" s="1"/>
  <c r="V235" i="6" s="1"/>
  <c r="V234" i="6" s="1"/>
  <c r="V233" i="6" s="1"/>
  <c r="V232" i="6" s="1"/>
  <c r="V231" i="6" s="1"/>
  <c r="V230" i="6" s="1"/>
  <c r="V229" i="6" s="1"/>
  <c r="V228" i="6" s="1"/>
  <c r="V227" i="6" s="1"/>
  <c r="V226" i="6" s="1"/>
  <c r="V225" i="6" s="1"/>
  <c r="V224" i="6" s="1"/>
  <c r="V223" i="6" s="1"/>
  <c r="V222" i="6" s="1"/>
  <c r="V221" i="6" s="1"/>
  <c r="V220" i="6" s="1"/>
  <c r="V219" i="6" s="1"/>
  <c r="V218" i="6" s="1"/>
  <c r="V217" i="6" s="1"/>
  <c r="V216" i="6" s="1"/>
  <c r="V215" i="6" s="1"/>
  <c r="V214" i="6" s="1"/>
  <c r="V213" i="6" s="1"/>
  <c r="V212" i="6" s="1"/>
  <c r="V211" i="6" s="1"/>
  <c r="V210" i="6" s="1"/>
  <c r="V209" i="6" s="1"/>
  <c r="V208" i="6" s="1"/>
  <c r="V207" i="6" s="1"/>
  <c r="V206" i="6" s="1"/>
  <c r="V205" i="6" s="1"/>
  <c r="V204" i="6" s="1"/>
  <c r="V203" i="6" s="1"/>
  <c r="V202" i="6" s="1"/>
  <c r="V201" i="6" s="1"/>
  <c r="V200" i="6" s="1"/>
  <c r="V199" i="6" s="1"/>
  <c r="V198" i="6" s="1"/>
  <c r="V197" i="6" s="1"/>
  <c r="V196" i="6" s="1"/>
  <c r="V195" i="6" s="1"/>
  <c r="V194" i="6" s="1"/>
  <c r="V193" i="6" s="1"/>
  <c r="V192" i="6" s="1"/>
  <c r="V191" i="6" s="1"/>
  <c r="V190" i="6" s="1"/>
  <c r="V189" i="6" s="1"/>
  <c r="V188" i="6" s="1"/>
  <c r="V187" i="6" s="1"/>
  <c r="V186" i="6" s="1"/>
  <c r="V185" i="6" s="1"/>
  <c r="V184" i="6" s="1"/>
  <c r="V183" i="6" s="1"/>
  <c r="V182" i="6" s="1"/>
  <c r="V181" i="6" s="1"/>
  <c r="V180" i="6" s="1"/>
  <c r="V179" i="6" s="1"/>
  <c r="V178" i="6" s="1"/>
  <c r="V177" i="6" s="1"/>
  <c r="V176" i="6" s="1"/>
  <c r="V175" i="6" s="1"/>
  <c r="V174" i="6" s="1"/>
  <c r="V173" i="6" s="1"/>
  <c r="V172" i="6" s="1"/>
  <c r="V171" i="6" s="1"/>
  <c r="V170" i="6" s="1"/>
  <c r="V169" i="6" s="1"/>
  <c r="V168" i="6" s="1"/>
  <c r="V167" i="6" s="1"/>
  <c r="V166" i="6" s="1"/>
  <c r="V165" i="6" s="1"/>
  <c r="V164" i="6" s="1"/>
  <c r="K290" i="6"/>
  <c r="K289" i="6" s="1"/>
  <c r="K288" i="6" s="1"/>
  <c r="M300" i="6"/>
  <c r="M299" i="6" s="1"/>
  <c r="O300" i="6"/>
  <c r="O299" i="6" s="1"/>
  <c r="O298" i="6" s="1"/>
  <c r="O297" i="6" s="1"/>
  <c r="O296" i="6" s="1"/>
  <c r="O295" i="6" s="1"/>
  <c r="O294" i="6" s="1"/>
  <c r="O293" i="6" s="1"/>
  <c r="O292" i="6" s="1"/>
  <c r="O291" i="6" s="1"/>
  <c r="O290" i="6" s="1"/>
  <c r="O289" i="6" s="1"/>
  <c r="O288" i="6" s="1"/>
  <c r="O287" i="6" s="1"/>
  <c r="O286" i="6" s="1"/>
  <c r="O285" i="6" s="1"/>
  <c r="O284" i="6" s="1"/>
  <c r="O283" i="6" s="1"/>
  <c r="O282" i="6" s="1"/>
  <c r="O281" i="6" s="1"/>
  <c r="O280" i="6" s="1"/>
  <c r="O279" i="6" s="1"/>
  <c r="O278" i="6" s="1"/>
  <c r="O277" i="6" s="1"/>
  <c r="O276" i="6" s="1"/>
  <c r="O275" i="6" s="1"/>
  <c r="O274" i="6" s="1"/>
  <c r="O273" i="6" s="1"/>
  <c r="O272" i="6" s="1"/>
  <c r="O271" i="6" s="1"/>
  <c r="O270" i="6" s="1"/>
  <c r="O269" i="6" s="1"/>
  <c r="O268" i="6" s="1"/>
  <c r="O267" i="6" s="1"/>
  <c r="O266" i="6" s="1"/>
  <c r="O265" i="6" s="1"/>
  <c r="O264" i="6" s="1"/>
  <c r="O263" i="6" s="1"/>
  <c r="O262" i="6" s="1"/>
  <c r="O261" i="6" s="1"/>
  <c r="O260" i="6" s="1"/>
  <c r="O259" i="6" s="1"/>
  <c r="O258" i="6" s="1"/>
  <c r="O257" i="6" s="1"/>
  <c r="O256" i="6" s="1"/>
  <c r="O255" i="6" s="1"/>
  <c r="O254" i="6" s="1"/>
  <c r="O253" i="6" s="1"/>
  <c r="O252" i="6" s="1"/>
  <c r="O251" i="6" s="1"/>
  <c r="O250" i="6" s="1"/>
  <c r="O249" i="6" s="1"/>
  <c r="O248" i="6" s="1"/>
  <c r="O247" i="6" s="1"/>
  <c r="O246" i="6" s="1"/>
  <c r="O245" i="6" s="1"/>
  <c r="O244" i="6" s="1"/>
  <c r="O243" i="6" s="1"/>
  <c r="O242" i="6" s="1"/>
  <c r="O241" i="6" s="1"/>
  <c r="O240" i="6" s="1"/>
  <c r="O239" i="6" s="1"/>
  <c r="O238" i="6" s="1"/>
  <c r="O237" i="6" s="1"/>
  <c r="O236" i="6" s="1"/>
  <c r="O235" i="6" s="1"/>
  <c r="O234" i="6" s="1"/>
  <c r="O233" i="6" s="1"/>
  <c r="O232" i="6" s="1"/>
  <c r="O231" i="6" s="1"/>
  <c r="O230" i="6" s="1"/>
  <c r="O229" i="6" s="1"/>
  <c r="O228" i="6" s="1"/>
  <c r="O227" i="6" s="1"/>
  <c r="O226" i="6" s="1"/>
  <c r="O225" i="6" s="1"/>
  <c r="O224" i="6" s="1"/>
  <c r="O223" i="6" s="1"/>
  <c r="O222" i="6" s="1"/>
  <c r="O221" i="6" s="1"/>
  <c r="O220" i="6" s="1"/>
  <c r="O219" i="6" s="1"/>
  <c r="O218" i="6" s="1"/>
  <c r="O217" i="6" s="1"/>
  <c r="O216" i="6" s="1"/>
  <c r="O215" i="6" s="1"/>
  <c r="O214" i="6" s="1"/>
  <c r="O213" i="6" s="1"/>
  <c r="O212" i="6" s="1"/>
  <c r="O211" i="6" s="1"/>
  <c r="O210" i="6" s="1"/>
  <c r="O209" i="6" s="1"/>
  <c r="O208" i="6" s="1"/>
  <c r="O207" i="6" s="1"/>
  <c r="O206" i="6" s="1"/>
  <c r="O205" i="6" s="1"/>
  <c r="O204" i="6" s="1"/>
  <c r="O203" i="6" s="1"/>
  <c r="O202" i="6" s="1"/>
  <c r="O201" i="6" s="1"/>
  <c r="O200" i="6" s="1"/>
  <c r="O199" i="6" s="1"/>
  <c r="O198" i="6" s="1"/>
  <c r="O197" i="6" s="1"/>
  <c r="O196" i="6" s="1"/>
  <c r="O195" i="6" s="1"/>
  <c r="O194" i="6" s="1"/>
  <c r="O193" i="6" s="1"/>
  <c r="O192" i="6" s="1"/>
  <c r="O191" i="6" s="1"/>
  <c r="O190" i="6" s="1"/>
  <c r="O189" i="6" s="1"/>
  <c r="O188" i="6" s="1"/>
  <c r="O187" i="6" s="1"/>
  <c r="O186" i="6" s="1"/>
  <c r="O185" i="6" s="1"/>
  <c r="O184" i="6" s="1"/>
  <c r="O183" i="6" s="1"/>
  <c r="O182" i="6" s="1"/>
  <c r="O181" i="6" s="1"/>
  <c r="O180" i="6" s="1"/>
  <c r="O179" i="6" s="1"/>
  <c r="O178" i="6" s="1"/>
  <c r="O177" i="6" s="1"/>
  <c r="O176" i="6" s="1"/>
  <c r="O175" i="6" s="1"/>
  <c r="O174" i="6" s="1"/>
  <c r="O173" i="6" s="1"/>
  <c r="O172" i="6" s="1"/>
  <c r="O171" i="6" s="1"/>
  <c r="O170" i="6" s="1"/>
  <c r="O169" i="6" s="1"/>
  <c r="O168" i="6" s="1"/>
  <c r="O167" i="6" s="1"/>
  <c r="O166" i="6" s="1"/>
  <c r="O165" i="6" s="1"/>
  <c r="O164" i="6" s="1"/>
  <c r="F301" i="6"/>
  <c r="F300" i="6" s="1"/>
  <c r="F299" i="6" s="1"/>
  <c r="F298" i="6" s="1"/>
  <c r="F297" i="6" s="1"/>
  <c r="F296" i="6" s="1"/>
  <c r="F295" i="6" s="1"/>
  <c r="F294" i="6" s="1"/>
  <c r="F293" i="6" s="1"/>
  <c r="H301" i="6"/>
  <c r="H300" i="6" s="1"/>
  <c r="H299" i="6" s="1"/>
  <c r="H298" i="6" s="1"/>
  <c r="H297" i="6" s="1"/>
  <c r="H296" i="6" s="1"/>
  <c r="H295" i="6" s="1"/>
  <c r="H294" i="6" s="1"/>
  <c r="H293" i="6" s="1"/>
  <c r="H292" i="6" s="1"/>
  <c r="H291" i="6" s="1"/>
  <c r="H290" i="6" s="1"/>
  <c r="H289" i="6" s="1"/>
  <c r="H288" i="6" s="1"/>
  <c r="H287" i="6" s="1"/>
  <c r="H286" i="6" s="1"/>
  <c r="H285" i="6" s="1"/>
  <c r="H284" i="6" s="1"/>
  <c r="H283" i="6" s="1"/>
  <c r="H282" i="6" s="1"/>
  <c r="H281" i="6" s="1"/>
  <c r="H280" i="6" s="1"/>
  <c r="H279" i="6" s="1"/>
  <c r="H278" i="6" s="1"/>
  <c r="H277" i="6" s="1"/>
  <c r="H276" i="6" s="1"/>
  <c r="H275" i="6" s="1"/>
  <c r="H274" i="6" s="1"/>
  <c r="H273" i="6" s="1"/>
  <c r="H272" i="6" s="1"/>
  <c r="H271" i="6" s="1"/>
  <c r="H270" i="6" s="1"/>
  <c r="H269" i="6" s="1"/>
  <c r="H268" i="6" s="1"/>
  <c r="H267" i="6" s="1"/>
  <c r="H266" i="6" s="1"/>
  <c r="H265" i="6" s="1"/>
  <c r="H264" i="6" s="1"/>
  <c r="H263" i="6" s="1"/>
  <c r="H262" i="6" s="1"/>
  <c r="H261" i="6" s="1"/>
  <c r="H260" i="6" s="1"/>
  <c r="H259" i="6" s="1"/>
  <c r="H258" i="6" s="1"/>
  <c r="H257" i="6" s="1"/>
  <c r="H256" i="6" s="1"/>
  <c r="H255" i="6" s="1"/>
  <c r="H254" i="6" s="1"/>
  <c r="H253" i="6" s="1"/>
  <c r="H252" i="6" s="1"/>
  <c r="H251" i="6" s="1"/>
  <c r="H250" i="6" s="1"/>
  <c r="H249" i="6" s="1"/>
  <c r="H248" i="6" s="1"/>
  <c r="H247" i="6" s="1"/>
  <c r="H246" i="6" s="1"/>
  <c r="H245" i="6" s="1"/>
  <c r="H244" i="6" s="1"/>
  <c r="H243" i="6" s="1"/>
  <c r="H242" i="6" s="1"/>
  <c r="H241" i="6" s="1"/>
  <c r="H240" i="6" s="1"/>
  <c r="H239" i="6" s="1"/>
  <c r="H238" i="6" s="1"/>
  <c r="H237" i="6" s="1"/>
  <c r="H236" i="6" s="1"/>
  <c r="H235" i="6" s="1"/>
  <c r="H234" i="6" s="1"/>
  <c r="H233" i="6" s="1"/>
  <c r="H232" i="6" s="1"/>
  <c r="H231" i="6" s="1"/>
  <c r="H230" i="6" s="1"/>
  <c r="H229" i="6" s="1"/>
  <c r="H228" i="6" s="1"/>
  <c r="H227" i="6" s="1"/>
  <c r="H226" i="6" s="1"/>
  <c r="H225" i="6" s="1"/>
  <c r="H224" i="6" s="1"/>
  <c r="H223" i="6" s="1"/>
  <c r="H222" i="6" s="1"/>
  <c r="H221" i="6" s="1"/>
  <c r="H220" i="6" s="1"/>
  <c r="H219" i="6" s="1"/>
  <c r="H218" i="6" s="1"/>
  <c r="H217" i="6" s="1"/>
  <c r="H216" i="6" s="1"/>
  <c r="H215" i="6" s="1"/>
  <c r="H214" i="6" s="1"/>
  <c r="H213" i="6" s="1"/>
  <c r="H212" i="6" s="1"/>
  <c r="H211" i="6" s="1"/>
  <c r="H210" i="6" s="1"/>
  <c r="H209" i="6" s="1"/>
  <c r="H208" i="6" s="1"/>
  <c r="H207" i="6" s="1"/>
  <c r="H206" i="6" s="1"/>
  <c r="H205" i="6" s="1"/>
  <c r="H204" i="6" s="1"/>
  <c r="H203" i="6" s="1"/>
  <c r="H202" i="6" s="1"/>
  <c r="H201" i="6" s="1"/>
  <c r="H200" i="6" s="1"/>
  <c r="H199" i="6" s="1"/>
  <c r="H198" i="6" s="1"/>
  <c r="H197" i="6" s="1"/>
  <c r="H196" i="6" s="1"/>
  <c r="H195" i="6" s="1"/>
  <c r="H194" i="6" s="1"/>
  <c r="H193" i="6" s="1"/>
  <c r="H192" i="6" s="1"/>
  <c r="H191" i="6" s="1"/>
  <c r="H190" i="6" s="1"/>
  <c r="H189" i="6" s="1"/>
  <c r="H188" i="6" s="1"/>
  <c r="H187" i="6" s="1"/>
  <c r="H186" i="6" s="1"/>
  <c r="H185" i="6" s="1"/>
  <c r="H184" i="6" s="1"/>
  <c r="H183" i="6" s="1"/>
  <c r="H182" i="6" s="1"/>
  <c r="H181" i="6" s="1"/>
  <c r="H180" i="6" s="1"/>
  <c r="H179" i="6" s="1"/>
  <c r="H178" i="6" s="1"/>
  <c r="H177" i="6" s="1"/>
  <c r="H176" i="6" s="1"/>
  <c r="H175" i="6" s="1"/>
  <c r="H174" i="6" s="1"/>
  <c r="H173" i="6" s="1"/>
  <c r="H172" i="6" s="1"/>
  <c r="H171" i="6" s="1"/>
  <c r="H170" i="6" s="1"/>
  <c r="H169" i="6" s="1"/>
  <c r="H168" i="6" s="1"/>
  <c r="H167" i="6" s="1"/>
  <c r="H166" i="6" s="1"/>
  <c r="H165" i="6" s="1"/>
  <c r="H164" i="6" s="1"/>
  <c r="H163" i="6" s="1"/>
  <c r="H162" i="6" s="1"/>
  <c r="H161" i="6" s="1"/>
  <c r="H160" i="6" s="1"/>
  <c r="H159" i="6" s="1"/>
  <c r="H158" i="6" s="1"/>
  <c r="H157" i="6" s="1"/>
  <c r="H156" i="6" s="1"/>
  <c r="H155" i="6" s="1"/>
  <c r="H154" i="6" s="1"/>
  <c r="H153" i="6" s="1"/>
  <c r="H152" i="6" s="1"/>
  <c r="H151" i="6" s="1"/>
  <c r="H150" i="6" s="1"/>
  <c r="H149" i="6" s="1"/>
  <c r="H148" i="6" s="1"/>
  <c r="H147" i="6" s="1"/>
  <c r="H146" i="6" s="1"/>
  <c r="H145" i="6" s="1"/>
  <c r="H144" i="6" s="1"/>
  <c r="H143" i="6" s="1"/>
  <c r="H142" i="6" s="1"/>
  <c r="H141" i="6" s="1"/>
  <c r="H140" i="6" s="1"/>
  <c r="H139" i="6" s="1"/>
  <c r="H138" i="6" s="1"/>
  <c r="H137" i="6" s="1"/>
  <c r="H136" i="6" s="1"/>
  <c r="H135" i="6" s="1"/>
  <c r="H134" i="6" s="1"/>
  <c r="H133" i="6" s="1"/>
  <c r="H132" i="6" s="1"/>
  <c r="H131" i="6" s="1"/>
  <c r="H130" i="6" s="1"/>
  <c r="H129" i="6" s="1"/>
  <c r="H128" i="6" s="1"/>
  <c r="H127" i="6" s="1"/>
  <c r="AT146" i="6"/>
  <c r="AT153" i="6"/>
  <c r="BJ301" i="6"/>
  <c r="BJ300" i="6" s="1"/>
  <c r="BL301" i="6"/>
  <c r="BL300" i="6" s="1"/>
  <c r="BL299" i="6" s="1"/>
  <c r="BL298" i="6" s="1"/>
  <c r="BL297" i="6" s="1"/>
  <c r="BL296" i="6" s="1"/>
  <c r="BL295" i="6" s="1"/>
  <c r="BL294" i="6" s="1"/>
  <c r="BL293" i="6" s="1"/>
  <c r="BL292" i="6" s="1"/>
  <c r="BL291" i="6" s="1"/>
  <c r="BL290" i="6" s="1"/>
  <c r="BL289" i="6" s="1"/>
  <c r="BL288" i="6" s="1"/>
  <c r="BL287" i="6" s="1"/>
  <c r="BL286" i="6" s="1"/>
  <c r="BL285" i="6" s="1"/>
  <c r="BL284" i="6" s="1"/>
  <c r="BL283" i="6" s="1"/>
  <c r="BL282" i="6" s="1"/>
  <c r="BL281" i="6" s="1"/>
  <c r="BL280" i="6" s="1"/>
  <c r="BL279" i="6" s="1"/>
  <c r="BL278" i="6" s="1"/>
  <c r="BL277" i="6" s="1"/>
  <c r="BL276" i="6" s="1"/>
  <c r="BL275" i="6" s="1"/>
  <c r="BL274" i="6" s="1"/>
  <c r="BL273" i="6" s="1"/>
  <c r="BL272" i="6" s="1"/>
  <c r="BL271" i="6" s="1"/>
  <c r="BL270" i="6" s="1"/>
  <c r="BL269" i="6" s="1"/>
  <c r="BL268" i="6" s="1"/>
  <c r="BL267" i="6" s="1"/>
  <c r="BL266" i="6" s="1"/>
  <c r="BL265" i="6" s="1"/>
  <c r="BL264" i="6" s="1"/>
  <c r="BL263" i="6" s="1"/>
  <c r="BL262" i="6" s="1"/>
  <c r="BL261" i="6" s="1"/>
  <c r="BL260" i="6" s="1"/>
  <c r="BL259" i="6" s="1"/>
  <c r="BL258" i="6" s="1"/>
  <c r="BL257" i="6" s="1"/>
  <c r="BL256" i="6" s="1"/>
  <c r="BL255" i="6" s="1"/>
  <c r="BL254" i="6" s="1"/>
  <c r="BL253" i="6" s="1"/>
  <c r="BL252" i="6" s="1"/>
  <c r="BL251" i="6" s="1"/>
  <c r="BL250" i="6" s="1"/>
  <c r="BL249" i="6" s="1"/>
  <c r="BL248" i="6" s="1"/>
  <c r="BL247" i="6" s="1"/>
  <c r="BL246" i="6" s="1"/>
  <c r="BL245" i="6" s="1"/>
  <c r="BL244" i="6" s="1"/>
  <c r="BL243" i="6" s="1"/>
  <c r="BL242" i="6" s="1"/>
  <c r="BL241" i="6" s="1"/>
  <c r="BL240" i="6" s="1"/>
  <c r="BL239" i="6" s="1"/>
  <c r="BL238" i="6" s="1"/>
  <c r="BL237" i="6" s="1"/>
  <c r="BL236" i="6" s="1"/>
  <c r="BL235" i="6" s="1"/>
  <c r="BL234" i="6" s="1"/>
  <c r="BL233" i="6" s="1"/>
  <c r="BL232" i="6" s="1"/>
  <c r="BL231" i="6" s="1"/>
  <c r="BL230" i="6" s="1"/>
  <c r="BL229" i="6" s="1"/>
  <c r="BL228" i="6" s="1"/>
  <c r="BL227" i="6" s="1"/>
  <c r="BL226" i="6" s="1"/>
  <c r="BL225" i="6" s="1"/>
  <c r="BL224" i="6" s="1"/>
  <c r="BL223" i="6" s="1"/>
  <c r="BL222" i="6" s="1"/>
  <c r="BL221" i="6" s="1"/>
  <c r="BL220" i="6" s="1"/>
  <c r="BL219" i="6" s="1"/>
  <c r="BL218" i="6" s="1"/>
  <c r="BL217" i="6" s="1"/>
  <c r="BL216" i="6" s="1"/>
  <c r="BL215" i="6" s="1"/>
  <c r="BL214" i="6" s="1"/>
  <c r="BL213" i="6" s="1"/>
  <c r="BL212" i="6" s="1"/>
  <c r="BL211" i="6" s="1"/>
  <c r="BL210" i="6" s="1"/>
  <c r="BL209" i="6" s="1"/>
  <c r="BL208" i="6" s="1"/>
  <c r="BL207" i="6" s="1"/>
  <c r="BL206" i="6" s="1"/>
  <c r="BL205" i="6" s="1"/>
  <c r="BL204" i="6" s="1"/>
  <c r="BL203" i="6" s="1"/>
  <c r="BL202" i="6" s="1"/>
  <c r="BL201" i="6" s="1"/>
  <c r="BL200" i="6" s="1"/>
  <c r="BL199" i="6" s="1"/>
  <c r="BL198" i="6" s="1"/>
  <c r="BL197" i="6" s="1"/>
  <c r="BL196" i="6" s="1"/>
  <c r="BL195" i="6" s="1"/>
  <c r="BL194" i="6" s="1"/>
  <c r="BL193" i="6" s="1"/>
  <c r="BL192" i="6" s="1"/>
  <c r="BL191" i="6" s="1"/>
  <c r="BL190" i="6" s="1"/>
  <c r="BL189" i="6" s="1"/>
  <c r="BL188" i="6" s="1"/>
  <c r="BL187" i="6" s="1"/>
  <c r="BL186" i="6" s="1"/>
  <c r="BL185" i="6" s="1"/>
  <c r="BL184" i="6" s="1"/>
  <c r="BL183" i="6" s="1"/>
  <c r="BL182" i="6" s="1"/>
  <c r="BL181" i="6" s="1"/>
  <c r="BL180" i="6" s="1"/>
  <c r="BL179" i="6" s="1"/>
  <c r="BL178" i="6" s="1"/>
  <c r="BL177" i="6" s="1"/>
  <c r="BL176" i="6" s="1"/>
  <c r="BL175" i="6" s="1"/>
  <c r="BL174" i="6" s="1"/>
  <c r="BL173" i="6" s="1"/>
  <c r="BL172" i="6" s="1"/>
  <c r="BL171" i="6" s="1"/>
  <c r="BL170" i="6" s="1"/>
  <c r="BL169" i="6" s="1"/>
  <c r="BL168" i="6" s="1"/>
  <c r="BL167" i="6" s="1"/>
  <c r="BL166" i="6" s="1"/>
  <c r="BL165" i="6" s="1"/>
  <c r="BL164" i="6" s="1"/>
  <c r="BL163" i="6" s="1"/>
  <c r="BL162" i="6" s="1"/>
  <c r="BL161" i="6" s="1"/>
  <c r="BL160" i="6" s="1"/>
  <c r="BL159" i="6" s="1"/>
  <c r="BL158" i="6" s="1"/>
  <c r="BL157" i="6" s="1"/>
  <c r="BL156" i="6" s="1"/>
  <c r="BL155" i="6" s="1"/>
  <c r="BL154" i="6" s="1"/>
  <c r="BL153" i="6" s="1"/>
  <c r="BL152" i="6" s="1"/>
  <c r="BL151" i="6" s="1"/>
  <c r="BL150" i="6" s="1"/>
  <c r="BL149" i="6" s="1"/>
  <c r="BL148" i="6" s="1"/>
  <c r="BL147" i="6" s="1"/>
  <c r="BL146" i="6" s="1"/>
  <c r="BL145" i="6" s="1"/>
  <c r="BL144" i="6" s="1"/>
  <c r="BL143" i="6" s="1"/>
  <c r="BL142" i="6" s="1"/>
  <c r="BL141" i="6" s="1"/>
  <c r="BL140" i="6" s="1"/>
  <c r="BL139" i="6" s="1"/>
  <c r="BL138" i="6" s="1"/>
  <c r="BL137" i="6" s="1"/>
  <c r="BL136" i="6" s="1"/>
  <c r="BL135" i="6" s="1"/>
  <c r="BL134" i="6" s="1"/>
  <c r="BL133" i="6" s="1"/>
  <c r="BL132" i="6" s="1"/>
  <c r="BL131" i="6" s="1"/>
  <c r="BL130" i="6" s="1"/>
  <c r="BL129" i="6" s="1"/>
  <c r="BL128" i="6" s="1"/>
  <c r="BL127" i="6" s="1"/>
  <c r="BN301" i="6"/>
  <c r="BN300" i="6" s="1"/>
  <c r="BN299" i="6" s="1"/>
  <c r="BN298" i="6" s="1"/>
  <c r="BN297" i="6" s="1"/>
  <c r="BN296" i="6" s="1"/>
  <c r="BN295" i="6" s="1"/>
  <c r="BN294" i="6" s="1"/>
  <c r="BN293" i="6" s="1"/>
  <c r="BN292" i="6" s="1"/>
  <c r="BN291" i="6" s="1"/>
  <c r="BN290" i="6" s="1"/>
  <c r="BN289" i="6" s="1"/>
  <c r="BN288" i="6" s="1"/>
  <c r="BN287" i="6" s="1"/>
  <c r="BN286" i="6" s="1"/>
  <c r="BN285" i="6" s="1"/>
  <c r="BN284" i="6" s="1"/>
  <c r="BN283" i="6" s="1"/>
  <c r="BN282" i="6" s="1"/>
  <c r="BN281" i="6" s="1"/>
  <c r="BN280" i="6" s="1"/>
  <c r="BN279" i="6" s="1"/>
  <c r="BN278" i="6" s="1"/>
  <c r="BN277" i="6" s="1"/>
  <c r="BN276" i="6" s="1"/>
  <c r="BN275" i="6" s="1"/>
  <c r="BN274" i="6" s="1"/>
  <c r="BN273" i="6" s="1"/>
  <c r="BN272" i="6" s="1"/>
  <c r="BN271" i="6" s="1"/>
  <c r="BN270" i="6" s="1"/>
  <c r="BN269" i="6" s="1"/>
  <c r="BN268" i="6" s="1"/>
  <c r="BN267" i="6" s="1"/>
  <c r="BN266" i="6" s="1"/>
  <c r="BN265" i="6" s="1"/>
  <c r="BN264" i="6" s="1"/>
  <c r="BN263" i="6" s="1"/>
  <c r="BN262" i="6" s="1"/>
  <c r="BN261" i="6" s="1"/>
  <c r="BN260" i="6" s="1"/>
  <c r="BN259" i="6" s="1"/>
  <c r="BN258" i="6" s="1"/>
  <c r="BN257" i="6" s="1"/>
  <c r="BN256" i="6" s="1"/>
  <c r="BN255" i="6" s="1"/>
  <c r="BN254" i="6" s="1"/>
  <c r="BN253" i="6" s="1"/>
  <c r="BN252" i="6" s="1"/>
  <c r="BN251" i="6" s="1"/>
  <c r="BN250" i="6" s="1"/>
  <c r="BN249" i="6" s="1"/>
  <c r="BN248" i="6" s="1"/>
  <c r="BN247" i="6" s="1"/>
  <c r="BN246" i="6" s="1"/>
  <c r="BN245" i="6" s="1"/>
  <c r="BN244" i="6" s="1"/>
  <c r="BN243" i="6" s="1"/>
  <c r="BN242" i="6" s="1"/>
  <c r="BN241" i="6" s="1"/>
  <c r="BN240" i="6" s="1"/>
  <c r="BN239" i="6" s="1"/>
  <c r="BN238" i="6" s="1"/>
  <c r="BN237" i="6" s="1"/>
  <c r="BN236" i="6" s="1"/>
  <c r="BN235" i="6" s="1"/>
  <c r="BN234" i="6" s="1"/>
  <c r="BN233" i="6" s="1"/>
  <c r="BN232" i="6" s="1"/>
  <c r="BN231" i="6" s="1"/>
  <c r="BN230" i="6" s="1"/>
  <c r="BN229" i="6" s="1"/>
  <c r="BN228" i="6" s="1"/>
  <c r="BN227" i="6" s="1"/>
  <c r="BN226" i="6" s="1"/>
  <c r="BN225" i="6" s="1"/>
  <c r="BN224" i="6" s="1"/>
  <c r="BN223" i="6" s="1"/>
  <c r="BN222" i="6" s="1"/>
  <c r="BN221" i="6" s="1"/>
  <c r="BN220" i="6" s="1"/>
  <c r="BN219" i="6" s="1"/>
  <c r="BN218" i="6" s="1"/>
  <c r="BN217" i="6" s="1"/>
  <c r="BN216" i="6" s="1"/>
  <c r="BN215" i="6" s="1"/>
  <c r="BN214" i="6" s="1"/>
  <c r="BN213" i="6" s="1"/>
  <c r="BN212" i="6" s="1"/>
  <c r="BN211" i="6" s="1"/>
  <c r="BN210" i="6" s="1"/>
  <c r="BN209" i="6" s="1"/>
  <c r="BN208" i="6" s="1"/>
  <c r="BN207" i="6" s="1"/>
  <c r="BN206" i="6" s="1"/>
  <c r="BN205" i="6" s="1"/>
  <c r="BN204" i="6" s="1"/>
  <c r="BN203" i="6" s="1"/>
  <c r="BN202" i="6" s="1"/>
  <c r="BN201" i="6" s="1"/>
  <c r="BN200" i="6" s="1"/>
  <c r="BN199" i="6" s="1"/>
  <c r="BN198" i="6" s="1"/>
  <c r="BN197" i="6" s="1"/>
  <c r="BN196" i="6" s="1"/>
  <c r="BN195" i="6" s="1"/>
  <c r="BN194" i="6" s="1"/>
  <c r="BN193" i="6" s="1"/>
  <c r="BN192" i="6" s="1"/>
  <c r="BN191" i="6" s="1"/>
  <c r="BN190" i="6" s="1"/>
  <c r="BN189" i="6" s="1"/>
  <c r="BN188" i="6" s="1"/>
  <c r="BN187" i="6" s="1"/>
  <c r="BN186" i="6" s="1"/>
  <c r="BN185" i="6" s="1"/>
  <c r="BN184" i="6" s="1"/>
  <c r="BN183" i="6" s="1"/>
  <c r="BN182" i="6" s="1"/>
  <c r="BN181" i="6" s="1"/>
  <c r="BN180" i="6" s="1"/>
  <c r="BN179" i="6" s="1"/>
  <c r="BN178" i="6" s="1"/>
  <c r="BN177" i="6" s="1"/>
  <c r="BN176" i="6" s="1"/>
  <c r="BN175" i="6" s="1"/>
  <c r="BN174" i="6" s="1"/>
  <c r="BN173" i="6" s="1"/>
  <c r="BN172" i="6" s="1"/>
  <c r="BN171" i="6" s="1"/>
  <c r="BN170" i="6" s="1"/>
  <c r="BN169" i="6" s="1"/>
  <c r="BN168" i="6" s="1"/>
  <c r="BN167" i="6" s="1"/>
  <c r="BN166" i="6" s="1"/>
  <c r="BN165" i="6" s="1"/>
  <c r="BN164" i="6" s="1"/>
  <c r="AT162" i="6"/>
  <c r="AT161" i="6"/>
  <c r="AT168" i="6"/>
  <c r="AT167" i="6"/>
  <c r="AT172" i="6"/>
  <c r="AT173" i="6"/>
  <c r="AT174" i="6"/>
  <c r="AX30" i="10"/>
  <c r="AT178" i="6"/>
  <c r="AT179" i="6"/>
  <c r="AT180" i="6"/>
  <c r="AX31" i="10"/>
  <c r="AT194" i="6"/>
  <c r="AT191" i="6"/>
  <c r="AT192" i="6"/>
  <c r="AT188" i="6"/>
  <c r="AT189" i="6"/>
  <c r="AT184" i="6"/>
  <c r="AT185" i="6"/>
  <c r="AT186" i="6"/>
  <c r="BL31" i="10"/>
  <c r="AX32" i="10"/>
  <c r="AT210" i="6"/>
  <c r="AT209" i="6"/>
  <c r="AT205" i="6"/>
  <c r="AT204" i="6"/>
  <c r="AT207" i="6"/>
  <c r="AT206" i="6"/>
  <c r="AT201" i="6"/>
  <c r="AT202" i="6"/>
  <c r="BL32" i="10"/>
  <c r="CA32" i="10"/>
  <c r="AX33" i="10"/>
  <c r="AT213" i="6"/>
  <c r="AT214" i="6"/>
  <c r="AT282" i="6" s="1"/>
  <c r="AT215" i="6"/>
  <c r="AT216" i="6"/>
  <c r="AT217" i="6"/>
  <c r="AT218" i="6"/>
  <c r="AT219" i="6"/>
  <c r="AT220" i="6"/>
  <c r="AT221" i="6"/>
  <c r="AT222" i="6"/>
  <c r="AT223" i="6"/>
  <c r="AT224" i="6"/>
  <c r="AT225" i="6"/>
  <c r="AT226" i="6"/>
  <c r="AT227" i="6"/>
  <c r="AT228" i="6"/>
  <c r="AT229" i="6"/>
  <c r="AT230" i="6"/>
  <c r="AT231" i="6"/>
  <c r="AT232" i="6"/>
  <c r="AT233" i="6"/>
  <c r="AT234" i="6"/>
  <c r="AT235" i="6"/>
  <c r="AT236" i="6"/>
  <c r="AT237" i="6"/>
  <c r="AT238" i="6"/>
  <c r="AT239" i="6"/>
  <c r="AT240" i="6"/>
  <c r="AT241" i="6"/>
  <c r="AT242" i="6"/>
  <c r="AT243" i="6"/>
  <c r="AT244" i="6"/>
  <c r="AT245" i="6"/>
  <c r="AT246" i="6"/>
  <c r="AT247" i="6"/>
  <c r="AT248" i="6"/>
  <c r="AT249" i="6"/>
  <c r="AT250" i="6"/>
  <c r="AT251" i="6"/>
  <c r="AT252" i="6"/>
  <c r="AT253" i="6"/>
  <c r="AT254" i="6"/>
  <c r="AT255" i="6"/>
  <c r="AT256" i="6"/>
  <c r="AT257" i="6"/>
  <c r="AT258" i="6"/>
  <c r="AT259" i="6"/>
  <c r="AT260" i="6"/>
  <c r="AT261" i="6"/>
  <c r="AT262" i="6"/>
  <c r="AT263" i="6"/>
  <c r="AT264" i="6"/>
  <c r="AT265" i="6"/>
  <c r="AT266" i="6"/>
  <c r="AT267" i="6"/>
  <c r="AT268" i="6"/>
  <c r="AT269" i="6"/>
  <c r="AT270" i="6"/>
  <c r="AT271" i="6"/>
  <c r="AT272" i="6"/>
  <c r="AT273" i="6"/>
  <c r="AT274" i="6"/>
  <c r="AT275" i="6"/>
  <c r="AT276" i="6"/>
  <c r="AT277" i="6"/>
  <c r="AT278" i="6"/>
  <c r="AT279" i="6"/>
  <c r="AT280" i="6"/>
  <c r="AT281" i="6"/>
  <c r="BL33" i="10"/>
  <c r="CA33" i="10"/>
  <c r="AT287" i="6"/>
  <c r="AT288" i="6"/>
  <c r="AT289" i="6"/>
  <c r="AT290" i="6"/>
  <c r="AT284" i="6"/>
  <c r="AT285" i="6"/>
  <c r="CA34" i="10"/>
  <c r="AX35" i="10"/>
  <c r="AT298" i="6"/>
  <c r="D301" i="6"/>
  <c r="D300" i="6" s="1"/>
  <c r="AT299" i="6"/>
  <c r="AT301" i="6"/>
  <c r="AT300" i="6"/>
  <c r="AT293" i="6"/>
  <c r="AT294" i="6"/>
  <c r="AT295" i="6"/>
  <c r="AT296" i="6"/>
  <c r="CA35" i="10"/>
  <c r="AT177" i="6"/>
  <c r="AU177" i="6" s="1"/>
  <c r="BJ38" i="10"/>
  <c r="BH38" i="10"/>
  <c r="BE38" i="10"/>
  <c r="BC38" i="10"/>
  <c r="BA38" i="10"/>
  <c r="BY38" i="10"/>
  <c r="BW38" i="10"/>
  <c r="BU38" i="10"/>
  <c r="BR38" i="10"/>
  <c r="BP38" i="10"/>
  <c r="BU301" i="6"/>
  <c r="BU300" i="6" s="1"/>
  <c r="BS301" i="6"/>
  <c r="BS300" i="6" s="1"/>
  <c r="BS299" i="6" s="1"/>
  <c r="BS298" i="6" s="1"/>
  <c r="BS297" i="6" s="1"/>
  <c r="BS296" i="6" s="1"/>
  <c r="BS295" i="6" s="1"/>
  <c r="BS294" i="6" s="1"/>
  <c r="BS293" i="6" s="1"/>
  <c r="BS292" i="6" s="1"/>
  <c r="BS291" i="6" s="1"/>
  <c r="BS290" i="6" s="1"/>
  <c r="BS289" i="6" s="1"/>
  <c r="BS288" i="6" s="1"/>
  <c r="BS287" i="6" s="1"/>
  <c r="BS286" i="6" s="1"/>
  <c r="BS285" i="6" s="1"/>
  <c r="BS284" i="6" s="1"/>
  <c r="BS283" i="6" s="1"/>
  <c r="BS282" i="6" s="1"/>
  <c r="BS281" i="6" s="1"/>
  <c r="BS280" i="6" s="1"/>
  <c r="BS279" i="6" s="1"/>
  <c r="BS278" i="6" s="1"/>
  <c r="BS277" i="6" s="1"/>
  <c r="BS276" i="6" s="1"/>
  <c r="BS275" i="6" s="1"/>
  <c r="BS274" i="6" s="1"/>
  <c r="BS273" i="6" s="1"/>
  <c r="BS272" i="6" s="1"/>
  <c r="BS271" i="6" s="1"/>
  <c r="BS270" i="6" s="1"/>
  <c r="BS269" i="6" s="1"/>
  <c r="BS268" i="6" s="1"/>
  <c r="BS267" i="6" s="1"/>
  <c r="BS266" i="6" s="1"/>
  <c r="BS265" i="6" s="1"/>
  <c r="BS264" i="6" s="1"/>
  <c r="BS263" i="6" s="1"/>
  <c r="BS262" i="6" s="1"/>
  <c r="BS261" i="6" s="1"/>
  <c r="BS260" i="6" s="1"/>
  <c r="BS259" i="6" s="1"/>
  <c r="BS258" i="6" s="1"/>
  <c r="BS257" i="6" s="1"/>
  <c r="BS256" i="6" s="1"/>
  <c r="BS255" i="6" s="1"/>
  <c r="BS254" i="6" s="1"/>
  <c r="BS253" i="6" s="1"/>
  <c r="BS252" i="6" s="1"/>
  <c r="BS251" i="6" s="1"/>
  <c r="BS250" i="6" s="1"/>
  <c r="BS249" i="6" s="1"/>
  <c r="BS248" i="6" s="1"/>
  <c r="BS247" i="6" s="1"/>
  <c r="BS246" i="6" s="1"/>
  <c r="BS245" i="6" s="1"/>
  <c r="BS244" i="6" s="1"/>
  <c r="BS243" i="6" s="1"/>
  <c r="BS242" i="6" s="1"/>
  <c r="BS241" i="6" s="1"/>
  <c r="BS240" i="6" s="1"/>
  <c r="BS239" i="6" s="1"/>
  <c r="BS238" i="6" s="1"/>
  <c r="BS237" i="6" s="1"/>
  <c r="BS236" i="6" s="1"/>
  <c r="BS235" i="6" s="1"/>
  <c r="BS234" i="6" s="1"/>
  <c r="BS233" i="6" s="1"/>
  <c r="BS232" i="6" s="1"/>
  <c r="BS231" i="6" s="1"/>
  <c r="BS230" i="6" s="1"/>
  <c r="BS229" i="6" s="1"/>
  <c r="BS228" i="6" s="1"/>
  <c r="BS227" i="6" s="1"/>
  <c r="BS226" i="6" s="1"/>
  <c r="BS225" i="6" s="1"/>
  <c r="BS224" i="6" s="1"/>
  <c r="BS223" i="6" s="1"/>
  <c r="BS222" i="6" s="1"/>
  <c r="BS221" i="6" s="1"/>
  <c r="BS220" i="6" s="1"/>
  <c r="BS219" i="6" s="1"/>
  <c r="BS218" i="6" s="1"/>
  <c r="BS217" i="6" s="1"/>
  <c r="BS216" i="6" s="1"/>
  <c r="BS215" i="6" s="1"/>
  <c r="BS214" i="6" s="1"/>
  <c r="BS213" i="6" s="1"/>
  <c r="BS212" i="6" s="1"/>
  <c r="BS211" i="6" s="1"/>
  <c r="BS210" i="6" s="1"/>
  <c r="BS209" i="6" s="1"/>
  <c r="BS208" i="6" s="1"/>
  <c r="BS207" i="6" s="1"/>
  <c r="BS206" i="6" s="1"/>
  <c r="BS205" i="6" s="1"/>
  <c r="BS204" i="6" s="1"/>
  <c r="BS203" i="6" s="1"/>
  <c r="BS202" i="6" s="1"/>
  <c r="BS201" i="6" s="1"/>
  <c r="BS200" i="6" s="1"/>
  <c r="BS199" i="6" s="1"/>
  <c r="BS198" i="6" s="1"/>
  <c r="BS197" i="6" s="1"/>
  <c r="BS196" i="6" s="1"/>
  <c r="BS195" i="6" s="1"/>
  <c r="BS194" i="6" s="1"/>
  <c r="BS193" i="6" s="1"/>
  <c r="BS192" i="6" s="1"/>
  <c r="BS191" i="6" s="1"/>
  <c r="BS190" i="6" s="1"/>
  <c r="BS189" i="6" s="1"/>
  <c r="BS188" i="6" s="1"/>
  <c r="BS187" i="6" s="1"/>
  <c r="BS186" i="6" s="1"/>
  <c r="BS185" i="6" s="1"/>
  <c r="BS184" i="6" s="1"/>
  <c r="BS183" i="6" s="1"/>
  <c r="BS182" i="6" s="1"/>
  <c r="BS181" i="6" s="1"/>
  <c r="BS180" i="6" s="1"/>
  <c r="BS179" i="6" s="1"/>
  <c r="BS178" i="6" s="1"/>
  <c r="BS177" i="6" s="1"/>
  <c r="BS176" i="6" s="1"/>
  <c r="BS175" i="6" s="1"/>
  <c r="BS174" i="6" s="1"/>
  <c r="BS173" i="6" s="1"/>
  <c r="BS172" i="6" s="1"/>
  <c r="BS171" i="6" s="1"/>
  <c r="BS170" i="6" s="1"/>
  <c r="BS169" i="6" s="1"/>
  <c r="BS168" i="6" s="1"/>
  <c r="BS167" i="6" s="1"/>
  <c r="BS166" i="6" s="1"/>
  <c r="BS165" i="6" s="1"/>
  <c r="BS164" i="6" s="1"/>
  <c r="BS163" i="6" s="1"/>
  <c r="BS162" i="6" s="1"/>
  <c r="BS161" i="6" s="1"/>
  <c r="BS160" i="6" s="1"/>
  <c r="BS159" i="6" s="1"/>
  <c r="BS158" i="6" s="1"/>
  <c r="BS157" i="6" s="1"/>
  <c r="BS156" i="6" s="1"/>
  <c r="BS155" i="6" s="1"/>
  <c r="BS154" i="6" s="1"/>
  <c r="BS153" i="6" s="1"/>
  <c r="BS152" i="6" s="1"/>
  <c r="BS151" i="6" s="1"/>
  <c r="BS150" i="6" s="1"/>
  <c r="BS149" i="6" s="1"/>
  <c r="BS148" i="6" s="1"/>
  <c r="BS147" i="6" s="1"/>
  <c r="BS146" i="6" s="1"/>
  <c r="BS145" i="6" s="1"/>
  <c r="BS144" i="6" s="1"/>
  <c r="BS143" i="6" s="1"/>
  <c r="BS142" i="6" s="1"/>
  <c r="BS141" i="6" s="1"/>
  <c r="BS140" i="6" s="1"/>
  <c r="BS139" i="6" s="1"/>
  <c r="BS138" i="6" s="1"/>
  <c r="BS137" i="6" s="1"/>
  <c r="BS136" i="6" s="1"/>
  <c r="BS135" i="6" s="1"/>
  <c r="BS134" i="6" s="1"/>
  <c r="BS133" i="6" s="1"/>
  <c r="BS132" i="6" s="1"/>
  <c r="BS131" i="6" s="1"/>
  <c r="BS130" i="6" s="1"/>
  <c r="BS129" i="6" s="1"/>
  <c r="BS128" i="6" s="1"/>
  <c r="BS127" i="6" s="1"/>
  <c r="BQ301" i="6"/>
  <c r="BQ300" i="6" s="1"/>
  <c r="BQ299" i="6" s="1"/>
  <c r="BF301" i="6"/>
  <c r="BF300" i="6" s="1"/>
  <c r="BD301" i="6"/>
  <c r="BD300" i="6" s="1"/>
  <c r="BD299" i="6" s="1"/>
  <c r="BA301" i="6"/>
  <c r="BA300" i="6" s="1"/>
  <c r="BA299" i="6" s="1"/>
  <c r="BA298" i="6" s="1"/>
  <c r="BA297" i="6" s="1"/>
  <c r="BA296" i="6" s="1"/>
  <c r="BA295" i="6" s="1"/>
  <c r="BA294" i="6" s="1"/>
  <c r="BA293" i="6" s="1"/>
  <c r="BA292" i="6" s="1"/>
  <c r="BA291" i="6" s="1"/>
  <c r="BA290" i="6" s="1"/>
  <c r="BA289" i="6" s="1"/>
  <c r="BA288" i="6" s="1"/>
  <c r="BA287" i="6" s="1"/>
  <c r="BA286" i="6" s="1"/>
  <c r="BA285" i="6" s="1"/>
  <c r="BA284" i="6" s="1"/>
  <c r="BA283" i="6" s="1"/>
  <c r="BA282" i="6" s="1"/>
  <c r="BA281" i="6" s="1"/>
  <c r="BA280" i="6" s="1"/>
  <c r="BA279" i="6" s="1"/>
  <c r="BA278" i="6" s="1"/>
  <c r="BA277" i="6" s="1"/>
  <c r="BA276" i="6" s="1"/>
  <c r="BA275" i="6" s="1"/>
  <c r="BA274" i="6" s="1"/>
  <c r="BA273" i="6" s="1"/>
  <c r="BA272" i="6" s="1"/>
  <c r="BA271" i="6" s="1"/>
  <c r="BA270" i="6" s="1"/>
  <c r="BA269" i="6" s="1"/>
  <c r="BA268" i="6" s="1"/>
  <c r="BA267" i="6" s="1"/>
  <c r="BA266" i="6" s="1"/>
  <c r="BA265" i="6" s="1"/>
  <c r="BA264" i="6" s="1"/>
  <c r="BA263" i="6" s="1"/>
  <c r="BA262" i="6" s="1"/>
  <c r="BA261" i="6" s="1"/>
  <c r="BA260" i="6" s="1"/>
  <c r="BA259" i="6" s="1"/>
  <c r="BA258" i="6" s="1"/>
  <c r="BA257" i="6" s="1"/>
  <c r="BA256" i="6" s="1"/>
  <c r="BA255" i="6" s="1"/>
  <c r="BA254" i="6" s="1"/>
  <c r="BA253" i="6" s="1"/>
  <c r="BA252" i="6" s="1"/>
  <c r="BA251" i="6" s="1"/>
  <c r="BA250" i="6" s="1"/>
  <c r="BA249" i="6" s="1"/>
  <c r="BA248" i="6" s="1"/>
  <c r="BA247" i="6" s="1"/>
  <c r="BA246" i="6" s="1"/>
  <c r="BA245" i="6" s="1"/>
  <c r="BA244" i="6" s="1"/>
  <c r="BA243" i="6" s="1"/>
  <c r="BA242" i="6" s="1"/>
  <c r="BA241" i="6" s="1"/>
  <c r="BA240" i="6" s="1"/>
  <c r="BA239" i="6" s="1"/>
  <c r="BA238" i="6" s="1"/>
  <c r="BA237" i="6" s="1"/>
  <c r="BA236" i="6" s="1"/>
  <c r="BA235" i="6" s="1"/>
  <c r="BA234" i="6" s="1"/>
  <c r="BA233" i="6" s="1"/>
  <c r="BA232" i="6" s="1"/>
  <c r="BA231" i="6" s="1"/>
  <c r="BA230" i="6" s="1"/>
  <c r="BA229" i="6" s="1"/>
  <c r="BA228" i="6" s="1"/>
  <c r="BA227" i="6" s="1"/>
  <c r="BA226" i="6" s="1"/>
  <c r="BA225" i="6" s="1"/>
  <c r="BA224" i="6" s="1"/>
  <c r="BA223" i="6" s="1"/>
  <c r="BA222" i="6" s="1"/>
  <c r="BA221" i="6" s="1"/>
  <c r="BA220" i="6" s="1"/>
  <c r="BA219" i="6" s="1"/>
  <c r="BA218" i="6" s="1"/>
  <c r="BA217" i="6" s="1"/>
  <c r="BA216" i="6" s="1"/>
  <c r="BA215" i="6" s="1"/>
  <c r="BA214" i="6" s="1"/>
  <c r="BA213" i="6" s="1"/>
  <c r="BA212" i="6" s="1"/>
  <c r="BA211" i="6" s="1"/>
  <c r="BA210" i="6" s="1"/>
  <c r="BA209" i="6" s="1"/>
  <c r="BA208" i="6" s="1"/>
  <c r="BA207" i="6" s="1"/>
  <c r="BA206" i="6" s="1"/>
  <c r="BA205" i="6" s="1"/>
  <c r="BA204" i="6" s="1"/>
  <c r="BA203" i="6" s="1"/>
  <c r="BA202" i="6" s="1"/>
  <c r="BA201" i="6" s="1"/>
  <c r="BA200" i="6" s="1"/>
  <c r="BA199" i="6" s="1"/>
  <c r="BA198" i="6" s="1"/>
  <c r="BA197" i="6" s="1"/>
  <c r="BA196" i="6" s="1"/>
  <c r="BA195" i="6" s="1"/>
  <c r="BA194" i="6" s="1"/>
  <c r="BA193" i="6" s="1"/>
  <c r="BA192" i="6" s="1"/>
  <c r="BA191" i="6" s="1"/>
  <c r="BA190" i="6" s="1"/>
  <c r="BA189" i="6" s="1"/>
  <c r="BA188" i="6" s="1"/>
  <c r="BA187" i="6" s="1"/>
  <c r="BA186" i="6" s="1"/>
  <c r="BA185" i="6" s="1"/>
  <c r="BA184" i="6" s="1"/>
  <c r="BA183" i="6" s="1"/>
  <c r="BA182" i="6" s="1"/>
  <c r="BA181" i="6" s="1"/>
  <c r="BA180" i="6" s="1"/>
  <c r="BA179" i="6" s="1"/>
  <c r="BA178" i="6" s="1"/>
  <c r="BA177" i="6" s="1"/>
  <c r="BA176" i="6" s="1"/>
  <c r="BA175" i="6" s="1"/>
  <c r="BA174" i="6" s="1"/>
  <c r="BA173" i="6" s="1"/>
  <c r="BA172" i="6" s="1"/>
  <c r="BA171" i="6" s="1"/>
  <c r="BA170" i="6" s="1"/>
  <c r="BA169" i="6" s="1"/>
  <c r="BA168" i="6" s="1"/>
  <c r="BA167" i="6" s="1"/>
  <c r="BA166" i="6" s="1"/>
  <c r="BA165" i="6" s="1"/>
  <c r="BA164" i="6" s="1"/>
  <c r="BA163" i="6" s="1"/>
  <c r="BA162" i="6" s="1"/>
  <c r="BA161" i="6" s="1"/>
  <c r="BA160" i="6" s="1"/>
  <c r="BA159" i="6" s="1"/>
  <c r="BA158" i="6" s="1"/>
  <c r="BA157" i="6" s="1"/>
  <c r="BA156" i="6" s="1"/>
  <c r="BA155" i="6" s="1"/>
  <c r="BA154" i="6" s="1"/>
  <c r="BA153" i="6" s="1"/>
  <c r="BA152" i="6" s="1"/>
  <c r="BA151" i="6" s="1"/>
  <c r="BA150" i="6" s="1"/>
  <c r="BA149" i="6" s="1"/>
  <c r="BA148" i="6" s="1"/>
  <c r="BA147" i="6" s="1"/>
  <c r="BA146" i="6" s="1"/>
  <c r="BA145" i="6" s="1"/>
  <c r="BA144" i="6" s="1"/>
  <c r="BA143" i="6" s="1"/>
  <c r="BA142" i="6" s="1"/>
  <c r="BA141" i="6" s="1"/>
  <c r="BA140" i="6" s="1"/>
  <c r="BA139" i="6" s="1"/>
  <c r="BA138" i="6" s="1"/>
  <c r="BA137" i="6" s="1"/>
  <c r="BA136" i="6" s="1"/>
  <c r="BA135" i="6" s="1"/>
  <c r="BA134" i="6" s="1"/>
  <c r="BA133" i="6" s="1"/>
  <c r="BA132" i="6" s="1"/>
  <c r="BA131" i="6" s="1"/>
  <c r="BA130" i="6" s="1"/>
  <c r="BA129" i="6" s="1"/>
  <c r="BA128" i="6" s="1"/>
  <c r="BA127" i="6" s="1"/>
  <c r="AY301" i="6"/>
  <c r="AY300" i="6" s="1"/>
  <c r="AY299" i="6" s="1"/>
  <c r="AY298" i="6" s="1"/>
  <c r="AY297" i="6" s="1"/>
  <c r="AY296" i="6" s="1"/>
  <c r="AY295" i="6" s="1"/>
  <c r="AY294" i="6" s="1"/>
  <c r="AY293" i="6" s="1"/>
  <c r="AY292" i="6" s="1"/>
  <c r="AY291" i="6" s="1"/>
  <c r="AY290" i="6" s="1"/>
  <c r="AY289" i="6" s="1"/>
  <c r="AY288" i="6" s="1"/>
  <c r="AY287" i="6" s="1"/>
  <c r="AY286" i="6" s="1"/>
  <c r="AY285" i="6" s="1"/>
  <c r="AY284" i="6" s="1"/>
  <c r="AY283" i="6" s="1"/>
  <c r="AY282" i="6" s="1"/>
  <c r="AY281" i="6" s="1"/>
  <c r="AY280" i="6" s="1"/>
  <c r="AY279" i="6" s="1"/>
  <c r="AY278" i="6" s="1"/>
  <c r="AY277" i="6" s="1"/>
  <c r="AY276" i="6" s="1"/>
  <c r="AY275" i="6" s="1"/>
  <c r="AY274" i="6" s="1"/>
  <c r="AY273" i="6" s="1"/>
  <c r="AY272" i="6" s="1"/>
  <c r="AY271" i="6" s="1"/>
  <c r="AY270" i="6" s="1"/>
  <c r="AY269" i="6" s="1"/>
  <c r="AY268" i="6" s="1"/>
  <c r="AY267" i="6" s="1"/>
  <c r="AY266" i="6" s="1"/>
  <c r="AY265" i="6" s="1"/>
  <c r="AY264" i="6" s="1"/>
  <c r="AY263" i="6" s="1"/>
  <c r="AY262" i="6" s="1"/>
  <c r="AY261" i="6" s="1"/>
  <c r="AY260" i="6" s="1"/>
  <c r="AY259" i="6" s="1"/>
  <c r="AY258" i="6" s="1"/>
  <c r="AY257" i="6" s="1"/>
  <c r="AY256" i="6" s="1"/>
  <c r="AY255" i="6" s="1"/>
  <c r="AY254" i="6" s="1"/>
  <c r="AY253" i="6" s="1"/>
  <c r="AY252" i="6" s="1"/>
  <c r="AY251" i="6" s="1"/>
  <c r="AY250" i="6" s="1"/>
  <c r="AY249" i="6" s="1"/>
  <c r="AY248" i="6" s="1"/>
  <c r="AY247" i="6" s="1"/>
  <c r="AY246" i="6" s="1"/>
  <c r="AY245" i="6" s="1"/>
  <c r="AY244" i="6" s="1"/>
  <c r="AY243" i="6" s="1"/>
  <c r="AY242" i="6" s="1"/>
  <c r="AY241" i="6" s="1"/>
  <c r="AY240" i="6" s="1"/>
  <c r="AY239" i="6" s="1"/>
  <c r="AY238" i="6" s="1"/>
  <c r="AY237" i="6" s="1"/>
  <c r="AY236" i="6" s="1"/>
  <c r="AY235" i="6" s="1"/>
  <c r="AY234" i="6" s="1"/>
  <c r="AY233" i="6" s="1"/>
  <c r="AY232" i="6" s="1"/>
  <c r="AY231" i="6" s="1"/>
  <c r="AY230" i="6" s="1"/>
  <c r="AY229" i="6" s="1"/>
  <c r="AY228" i="6" s="1"/>
  <c r="AY227" i="6" s="1"/>
  <c r="AY226" i="6" s="1"/>
  <c r="AY225" i="6" s="1"/>
  <c r="AY224" i="6" s="1"/>
  <c r="AY223" i="6" s="1"/>
  <c r="AY222" i="6" s="1"/>
  <c r="AY221" i="6" s="1"/>
  <c r="AY220" i="6" s="1"/>
  <c r="AY219" i="6" s="1"/>
  <c r="AY218" i="6" s="1"/>
  <c r="AY217" i="6" s="1"/>
  <c r="AY216" i="6" s="1"/>
  <c r="AY215" i="6" s="1"/>
  <c r="AY214" i="6" s="1"/>
  <c r="AY213" i="6" s="1"/>
  <c r="AY212" i="6" s="1"/>
  <c r="AY211" i="6" s="1"/>
  <c r="AY210" i="6" s="1"/>
  <c r="AY209" i="6" s="1"/>
  <c r="AY208" i="6" s="1"/>
  <c r="AY207" i="6" s="1"/>
  <c r="AY206" i="6" s="1"/>
  <c r="AY205" i="6" s="1"/>
  <c r="AY204" i="6" s="1"/>
  <c r="AY203" i="6" s="1"/>
  <c r="AY202" i="6" s="1"/>
  <c r="AY201" i="6" s="1"/>
  <c r="AY200" i="6" s="1"/>
  <c r="AY199" i="6" s="1"/>
  <c r="AY198" i="6" s="1"/>
  <c r="AY197" i="6" s="1"/>
  <c r="AY196" i="6" s="1"/>
  <c r="AY195" i="6" s="1"/>
  <c r="AY194" i="6" s="1"/>
  <c r="AY193" i="6" s="1"/>
  <c r="AY192" i="6" s="1"/>
  <c r="AY191" i="6" s="1"/>
  <c r="AY190" i="6" s="1"/>
  <c r="AY189" i="6" s="1"/>
  <c r="AY188" i="6" s="1"/>
  <c r="AY187" i="6" s="1"/>
  <c r="AY186" i="6" s="1"/>
  <c r="AY185" i="6" s="1"/>
  <c r="AY184" i="6" s="1"/>
  <c r="AY183" i="6" s="1"/>
  <c r="AY182" i="6" s="1"/>
  <c r="AY181" i="6" s="1"/>
  <c r="AY180" i="6" s="1"/>
  <c r="AY179" i="6" s="1"/>
  <c r="AY178" i="6" s="1"/>
  <c r="AY177" i="6" s="1"/>
  <c r="AY176" i="6" s="1"/>
  <c r="AY175" i="6" s="1"/>
  <c r="AY174" i="6" s="1"/>
  <c r="AY173" i="6" s="1"/>
  <c r="AY172" i="6" s="1"/>
  <c r="AY171" i="6" s="1"/>
  <c r="AY170" i="6" s="1"/>
  <c r="AY169" i="6" s="1"/>
  <c r="AY168" i="6" s="1"/>
  <c r="AY167" i="6" s="1"/>
  <c r="AY166" i="6" s="1"/>
  <c r="AY165" i="6" s="1"/>
  <c r="AY164" i="6" s="1"/>
  <c r="AW301" i="6"/>
  <c r="AW300" i="6" s="1"/>
  <c r="AT137" i="6"/>
  <c r="AT133" i="6"/>
  <c r="AR163" i="6"/>
  <c r="AT195" i="6"/>
  <c r="AT196" i="6"/>
  <c r="AT197" i="6"/>
  <c r="AT198" i="6"/>
  <c r="AT181" i="6" l="1"/>
  <c r="AT182" i="6" s="1"/>
  <c r="AO302" i="6"/>
  <c r="AO301" i="6" s="1"/>
  <c r="AO300" i="6" s="1"/>
  <c r="AQ303" i="6"/>
  <c r="AU303" i="6" s="1"/>
  <c r="AV303" i="6" s="1"/>
  <c r="AH302" i="6"/>
  <c r="AH301" i="6" s="1"/>
  <c r="AH300" i="6" s="1"/>
  <c r="AJ303" i="6"/>
  <c r="AX29" i="10"/>
  <c r="AV28" i="10"/>
  <c r="AL30" i="10"/>
  <c r="AL29" i="10" s="1"/>
  <c r="H33" i="10"/>
  <c r="BP34" i="10"/>
  <c r="BT35" i="10"/>
  <c r="J35" i="10"/>
  <c r="CI35" i="10"/>
  <c r="CK35" i="10" s="1"/>
  <c r="AH33" i="10"/>
  <c r="AR35" i="10"/>
  <c r="AQ35" i="10" s="1"/>
  <c r="AK35" i="10"/>
  <c r="AJ35" i="10" s="1"/>
  <c r="AN35" i="10" s="1"/>
  <c r="BL29" i="10"/>
  <c r="BH28" i="10"/>
  <c r="BY29" i="10"/>
  <c r="CA30" i="10"/>
  <c r="AJ34" i="10"/>
  <c r="AJ33" i="10" s="1"/>
  <c r="AJ32" i="10" s="1"/>
  <c r="AJ31" i="10" s="1"/>
  <c r="AJ30" i="10" s="1"/>
  <c r="AJ29" i="10" s="1"/>
  <c r="AJ28" i="10" s="1"/>
  <c r="AJ27" i="10" s="1"/>
  <c r="AJ26" i="10" s="1"/>
  <c r="AJ25" i="10" s="1"/>
  <c r="CI34" i="10"/>
  <c r="CK34" i="10" s="1"/>
  <c r="G34" i="10"/>
  <c r="E34" i="10" s="1"/>
  <c r="C34" i="10" s="1"/>
  <c r="AO32" i="10"/>
  <c r="AC301" i="6"/>
  <c r="AT157" i="6"/>
  <c r="AT158" i="6"/>
  <c r="AT152" i="6"/>
  <c r="AT145" i="6"/>
  <c r="O32" i="10"/>
  <c r="U33" i="10"/>
  <c r="BU25" i="10"/>
  <c r="AS15" i="10"/>
  <c r="AS14" i="10" s="1"/>
  <c r="BN31" i="10"/>
  <c r="X34" i="10"/>
  <c r="AB35" i="10"/>
  <c r="BC32" i="10"/>
  <c r="BG33" i="10"/>
  <c r="BM33" i="10" s="1"/>
  <c r="DP12" i="17"/>
  <c r="DL41" i="17"/>
  <c r="DO12" i="17"/>
  <c r="DO41" i="17" s="1"/>
  <c r="AG31" i="10"/>
  <c r="AC30" i="10"/>
  <c r="BA30" i="10"/>
  <c r="V32" i="10"/>
  <c r="AR130" i="6"/>
  <c r="AT130" i="6" s="1"/>
  <c r="AT297" i="6"/>
  <c r="AT159" i="6"/>
  <c r="Q300" i="6"/>
  <c r="Q302" i="6" s="1"/>
  <c r="AT302" i="6"/>
  <c r="AQ301" i="6"/>
  <c r="AT203" i="6"/>
  <c r="AT187" i="6"/>
  <c r="AT193" i="6"/>
  <c r="AT175" i="6"/>
  <c r="AT176" i="6" s="1"/>
  <c r="AT169" i="6"/>
  <c r="AT170" i="6" s="1"/>
  <c r="AT164" i="6"/>
  <c r="AT165" i="6" s="1"/>
  <c r="AT142" i="6"/>
  <c r="AT143" i="6" s="1"/>
  <c r="AT286" i="6"/>
  <c r="AT291" i="6" s="1"/>
  <c r="BW301" i="6"/>
  <c r="BC301" i="6"/>
  <c r="AT304" i="6"/>
  <c r="AT208" i="6"/>
  <c r="AT211" i="6" s="1"/>
  <c r="AT190" i="6"/>
  <c r="AT154" i="6"/>
  <c r="AT155" i="6" s="1"/>
  <c r="AT147" i="6"/>
  <c r="AT148" i="6" s="1"/>
  <c r="BP301" i="6"/>
  <c r="BH301" i="6"/>
  <c r="BI301" i="6" s="1"/>
  <c r="X301" i="6"/>
  <c r="AJ301" i="6"/>
  <c r="AK193" i="6"/>
  <c r="AK192" i="6" s="1"/>
  <c r="AW299" i="6"/>
  <c r="BC300" i="6"/>
  <c r="BC302" i="6" s="1"/>
  <c r="BD298" i="6"/>
  <c r="BF299" i="6"/>
  <c r="BF298" i="6" s="1"/>
  <c r="BF297" i="6" s="1"/>
  <c r="BF296" i="6" s="1"/>
  <c r="BF295" i="6" s="1"/>
  <c r="BF294" i="6" s="1"/>
  <c r="BF293" i="6" s="1"/>
  <c r="BF292" i="6" s="1"/>
  <c r="BF291" i="6" s="1"/>
  <c r="BF290" i="6" s="1"/>
  <c r="BF289" i="6" s="1"/>
  <c r="BF288" i="6" s="1"/>
  <c r="BF287" i="6" s="1"/>
  <c r="BF286" i="6" s="1"/>
  <c r="BF285" i="6" s="1"/>
  <c r="BF284" i="6" s="1"/>
  <c r="BF283" i="6" s="1"/>
  <c r="BF282" i="6" s="1"/>
  <c r="BF281" i="6" s="1"/>
  <c r="BF280" i="6" s="1"/>
  <c r="BF279" i="6" s="1"/>
  <c r="BF278" i="6" s="1"/>
  <c r="BF277" i="6" s="1"/>
  <c r="BF276" i="6" s="1"/>
  <c r="BF275" i="6" s="1"/>
  <c r="BF274" i="6" s="1"/>
  <c r="BF273" i="6" s="1"/>
  <c r="BF272" i="6" s="1"/>
  <c r="BF271" i="6" s="1"/>
  <c r="BF270" i="6" s="1"/>
  <c r="BF269" i="6" s="1"/>
  <c r="BF268" i="6" s="1"/>
  <c r="BF267" i="6" s="1"/>
  <c r="BF266" i="6" s="1"/>
  <c r="BF265" i="6" s="1"/>
  <c r="BF264" i="6" s="1"/>
  <c r="BF263" i="6" s="1"/>
  <c r="BF262" i="6" s="1"/>
  <c r="BF261" i="6" s="1"/>
  <c r="BF260" i="6" s="1"/>
  <c r="BF259" i="6" s="1"/>
  <c r="BF258" i="6" s="1"/>
  <c r="BF257" i="6" s="1"/>
  <c r="BF256" i="6" s="1"/>
  <c r="BF255" i="6" s="1"/>
  <c r="BF254" i="6" s="1"/>
  <c r="BF253" i="6" s="1"/>
  <c r="BF252" i="6" s="1"/>
  <c r="BF251" i="6" s="1"/>
  <c r="BF250" i="6" s="1"/>
  <c r="BF249" i="6" s="1"/>
  <c r="BF248" i="6" s="1"/>
  <c r="BF247" i="6" s="1"/>
  <c r="BF246" i="6" s="1"/>
  <c r="BF245" i="6" s="1"/>
  <c r="BF244" i="6" s="1"/>
  <c r="BF243" i="6" s="1"/>
  <c r="BF242" i="6" s="1"/>
  <c r="BF241" i="6" s="1"/>
  <c r="BF240" i="6" s="1"/>
  <c r="BF239" i="6" s="1"/>
  <c r="BF238" i="6" s="1"/>
  <c r="BF237" i="6" s="1"/>
  <c r="BF236" i="6" s="1"/>
  <c r="BF235" i="6" s="1"/>
  <c r="BF234" i="6" s="1"/>
  <c r="BF233" i="6" s="1"/>
  <c r="BF232" i="6" s="1"/>
  <c r="BF231" i="6" s="1"/>
  <c r="BF230" i="6" s="1"/>
  <c r="BF229" i="6" s="1"/>
  <c r="BF228" i="6" s="1"/>
  <c r="BF227" i="6" s="1"/>
  <c r="BF226" i="6" s="1"/>
  <c r="BF225" i="6" s="1"/>
  <c r="BF224" i="6" s="1"/>
  <c r="BF223" i="6" s="1"/>
  <c r="BF222" i="6" s="1"/>
  <c r="BF221" i="6" s="1"/>
  <c r="BF220" i="6" s="1"/>
  <c r="BF219" i="6" s="1"/>
  <c r="BF218" i="6" s="1"/>
  <c r="BF217" i="6" s="1"/>
  <c r="BF216" i="6" s="1"/>
  <c r="BF215" i="6" s="1"/>
  <c r="BF214" i="6" s="1"/>
  <c r="BF213" i="6" s="1"/>
  <c r="BF212" i="6" s="1"/>
  <c r="BF211" i="6" s="1"/>
  <c r="BF210" i="6" s="1"/>
  <c r="BF209" i="6" s="1"/>
  <c r="BF208" i="6" s="1"/>
  <c r="BF207" i="6" s="1"/>
  <c r="BF206" i="6" s="1"/>
  <c r="BF205" i="6" s="1"/>
  <c r="BF204" i="6" s="1"/>
  <c r="BF203" i="6" s="1"/>
  <c r="BF202" i="6" s="1"/>
  <c r="BF201" i="6" s="1"/>
  <c r="BF200" i="6" s="1"/>
  <c r="BF199" i="6" s="1"/>
  <c r="BF198" i="6" s="1"/>
  <c r="BF197" i="6" s="1"/>
  <c r="BF196" i="6" s="1"/>
  <c r="BF195" i="6" s="1"/>
  <c r="BF194" i="6" s="1"/>
  <c r="BF193" i="6" s="1"/>
  <c r="BF192" i="6" s="1"/>
  <c r="BF191" i="6" s="1"/>
  <c r="BF190" i="6" s="1"/>
  <c r="BF189" i="6" s="1"/>
  <c r="BF188" i="6" s="1"/>
  <c r="BF187" i="6" s="1"/>
  <c r="BF186" i="6" s="1"/>
  <c r="BF185" i="6" s="1"/>
  <c r="BF184" i="6" s="1"/>
  <c r="BF183" i="6" s="1"/>
  <c r="BF182" i="6" s="1"/>
  <c r="BF181" i="6" s="1"/>
  <c r="BF180" i="6" s="1"/>
  <c r="BF179" i="6" s="1"/>
  <c r="BF178" i="6" s="1"/>
  <c r="BF177" i="6" s="1"/>
  <c r="BF176" i="6" s="1"/>
  <c r="BF175" i="6" s="1"/>
  <c r="BF174" i="6" s="1"/>
  <c r="BF173" i="6" s="1"/>
  <c r="BF172" i="6" s="1"/>
  <c r="BF171" i="6" s="1"/>
  <c r="BF170" i="6" s="1"/>
  <c r="BF169" i="6" s="1"/>
  <c r="BF168" i="6" s="1"/>
  <c r="BF167" i="6" s="1"/>
  <c r="BF166" i="6" s="1"/>
  <c r="BF165" i="6" s="1"/>
  <c r="BF164" i="6" s="1"/>
  <c r="BF163" i="6" s="1"/>
  <c r="BF162" i="6" s="1"/>
  <c r="BF161" i="6" s="1"/>
  <c r="BF160" i="6" s="1"/>
  <c r="BF159" i="6" s="1"/>
  <c r="BF158" i="6" s="1"/>
  <c r="BF157" i="6" s="1"/>
  <c r="BF156" i="6" s="1"/>
  <c r="BF155" i="6" s="1"/>
  <c r="BF154" i="6" s="1"/>
  <c r="BF153" i="6" s="1"/>
  <c r="BF152" i="6" s="1"/>
  <c r="BF151" i="6" s="1"/>
  <c r="BF150" i="6" s="1"/>
  <c r="BF149" i="6" s="1"/>
  <c r="BF148" i="6" s="1"/>
  <c r="BF147" i="6" s="1"/>
  <c r="BF146" i="6" s="1"/>
  <c r="BF145" i="6" s="1"/>
  <c r="BF144" i="6" s="1"/>
  <c r="BF143" i="6" s="1"/>
  <c r="BF142" i="6" s="1"/>
  <c r="BF141" i="6" s="1"/>
  <c r="BF140" i="6" s="1"/>
  <c r="BF139" i="6" s="1"/>
  <c r="BF138" i="6" s="1"/>
  <c r="BF137" i="6" s="1"/>
  <c r="BF136" i="6" s="1"/>
  <c r="BF135" i="6" s="1"/>
  <c r="BF134" i="6" s="1"/>
  <c r="BF133" i="6" s="1"/>
  <c r="BF132" i="6" s="1"/>
  <c r="BF131" i="6" s="1"/>
  <c r="BF130" i="6" s="1"/>
  <c r="BF129" i="6" s="1"/>
  <c r="BF128" i="6" s="1"/>
  <c r="BF127" i="6" s="1"/>
  <c r="BH300" i="6"/>
  <c r="D299" i="6"/>
  <c r="J300" i="6"/>
  <c r="BJ299" i="6"/>
  <c r="BP300" i="6"/>
  <c r="K287" i="6"/>
  <c r="V162" i="6"/>
  <c r="V161" i="6" s="1"/>
  <c r="V160" i="6" s="1"/>
  <c r="V159" i="6" s="1"/>
  <c r="V158" i="6" s="1"/>
  <c r="V157" i="6" s="1"/>
  <c r="V156" i="6" s="1"/>
  <c r="V155" i="6" s="1"/>
  <c r="V154" i="6" s="1"/>
  <c r="V153" i="6" s="1"/>
  <c r="V152" i="6" s="1"/>
  <c r="V151" i="6" s="1"/>
  <c r="V150" i="6" s="1"/>
  <c r="V149" i="6" s="1"/>
  <c r="V148" i="6" s="1"/>
  <c r="V147" i="6" s="1"/>
  <c r="V146" i="6" s="1"/>
  <c r="V145" i="6" s="1"/>
  <c r="V144" i="6" s="1"/>
  <c r="V143" i="6" s="1"/>
  <c r="V142" i="6" s="1"/>
  <c r="V141" i="6" s="1"/>
  <c r="V140" i="6" s="1"/>
  <c r="V139" i="6" s="1"/>
  <c r="V138" i="6" s="1"/>
  <c r="V137" i="6" s="1"/>
  <c r="V136" i="6" s="1"/>
  <c r="V135" i="6" s="1"/>
  <c r="V134" i="6" s="1"/>
  <c r="V133" i="6" s="1"/>
  <c r="V132" i="6" s="1"/>
  <c r="V131" i="6" s="1"/>
  <c r="V130" i="6" s="1"/>
  <c r="V129" i="6" s="1"/>
  <c r="V128" i="6" s="1"/>
  <c r="V127" i="6" s="1"/>
  <c r="V163" i="6"/>
  <c r="R299" i="6"/>
  <c r="X300" i="6"/>
  <c r="Y299" i="6"/>
  <c r="AC300" i="6"/>
  <c r="AC302" i="6" s="1"/>
  <c r="AF298" i="6"/>
  <c r="AY162" i="6"/>
  <c r="AY161" i="6" s="1"/>
  <c r="AY160" i="6" s="1"/>
  <c r="AY159" i="6" s="1"/>
  <c r="AY158" i="6" s="1"/>
  <c r="AY157" i="6" s="1"/>
  <c r="AY156" i="6" s="1"/>
  <c r="AY155" i="6" s="1"/>
  <c r="AY154" i="6" s="1"/>
  <c r="AY153" i="6" s="1"/>
  <c r="AY152" i="6" s="1"/>
  <c r="AY151" i="6" s="1"/>
  <c r="AY150" i="6" s="1"/>
  <c r="AY149" i="6" s="1"/>
  <c r="AY148" i="6" s="1"/>
  <c r="AY147" i="6" s="1"/>
  <c r="AY146" i="6" s="1"/>
  <c r="AY145" i="6" s="1"/>
  <c r="AY144" i="6" s="1"/>
  <c r="AY143" i="6" s="1"/>
  <c r="AY142" i="6" s="1"/>
  <c r="AY141" i="6" s="1"/>
  <c r="AY140" i="6" s="1"/>
  <c r="AY139" i="6" s="1"/>
  <c r="AY138" i="6" s="1"/>
  <c r="AY137" i="6" s="1"/>
  <c r="AY136" i="6" s="1"/>
  <c r="AY135" i="6" s="1"/>
  <c r="AY134" i="6" s="1"/>
  <c r="AY133" i="6" s="1"/>
  <c r="AY132" i="6" s="1"/>
  <c r="AY131" i="6" s="1"/>
  <c r="AY130" i="6" s="1"/>
  <c r="AY129" i="6" s="1"/>
  <c r="AY128" i="6" s="1"/>
  <c r="AY127" i="6" s="1"/>
  <c r="AY163" i="6"/>
  <c r="BQ298" i="6"/>
  <c r="BU299" i="6"/>
  <c r="BU298" i="6" s="1"/>
  <c r="BU297" i="6" s="1"/>
  <c r="BU296" i="6" s="1"/>
  <c r="BU295" i="6" s="1"/>
  <c r="BU294" i="6" s="1"/>
  <c r="BU293" i="6" s="1"/>
  <c r="BU292" i="6" s="1"/>
  <c r="BU291" i="6" s="1"/>
  <c r="BU290" i="6" s="1"/>
  <c r="BU289" i="6" s="1"/>
  <c r="BU288" i="6" s="1"/>
  <c r="BU287" i="6" s="1"/>
  <c r="BU286" i="6" s="1"/>
  <c r="BU285" i="6" s="1"/>
  <c r="BU284" i="6" s="1"/>
  <c r="BU283" i="6" s="1"/>
  <c r="BU282" i="6" s="1"/>
  <c r="BU281" i="6" s="1"/>
  <c r="BU280" i="6" s="1"/>
  <c r="BU279" i="6" s="1"/>
  <c r="BU278" i="6" s="1"/>
  <c r="BU277" i="6" s="1"/>
  <c r="BU276" i="6" s="1"/>
  <c r="BU275" i="6" s="1"/>
  <c r="BU274" i="6" s="1"/>
  <c r="BU273" i="6" s="1"/>
  <c r="BU272" i="6" s="1"/>
  <c r="BU271" i="6" s="1"/>
  <c r="BU270" i="6" s="1"/>
  <c r="BU269" i="6" s="1"/>
  <c r="BU268" i="6" s="1"/>
  <c r="BU267" i="6" s="1"/>
  <c r="BU266" i="6" s="1"/>
  <c r="BU265" i="6" s="1"/>
  <c r="BU264" i="6" s="1"/>
  <c r="BU263" i="6" s="1"/>
  <c r="BU262" i="6" s="1"/>
  <c r="BU261" i="6" s="1"/>
  <c r="BU260" i="6" s="1"/>
  <c r="BU259" i="6" s="1"/>
  <c r="BU258" i="6" s="1"/>
  <c r="BU257" i="6" s="1"/>
  <c r="BU256" i="6" s="1"/>
  <c r="BU255" i="6" s="1"/>
  <c r="BU254" i="6" s="1"/>
  <c r="BU253" i="6" s="1"/>
  <c r="BU252" i="6" s="1"/>
  <c r="BU251" i="6" s="1"/>
  <c r="BU250" i="6" s="1"/>
  <c r="BU249" i="6" s="1"/>
  <c r="BU248" i="6" s="1"/>
  <c r="BU247" i="6" s="1"/>
  <c r="BU246" i="6" s="1"/>
  <c r="BU245" i="6" s="1"/>
  <c r="BU244" i="6" s="1"/>
  <c r="BU243" i="6" s="1"/>
  <c r="BU242" i="6" s="1"/>
  <c r="BU241" i="6" s="1"/>
  <c r="BU240" i="6" s="1"/>
  <c r="BU239" i="6" s="1"/>
  <c r="BU238" i="6" s="1"/>
  <c r="BU237" i="6" s="1"/>
  <c r="BU236" i="6" s="1"/>
  <c r="BU235" i="6" s="1"/>
  <c r="BU234" i="6" s="1"/>
  <c r="BU233" i="6" s="1"/>
  <c r="BU232" i="6" s="1"/>
  <c r="BU231" i="6" s="1"/>
  <c r="BU230" i="6" s="1"/>
  <c r="BU229" i="6" s="1"/>
  <c r="BU228" i="6" s="1"/>
  <c r="BU227" i="6" s="1"/>
  <c r="BU226" i="6" s="1"/>
  <c r="BU225" i="6" s="1"/>
  <c r="BU224" i="6" s="1"/>
  <c r="BU223" i="6" s="1"/>
  <c r="BU222" i="6" s="1"/>
  <c r="BU221" i="6" s="1"/>
  <c r="BU220" i="6" s="1"/>
  <c r="BU219" i="6" s="1"/>
  <c r="BU218" i="6" s="1"/>
  <c r="BU217" i="6" s="1"/>
  <c r="BU216" i="6" s="1"/>
  <c r="BU215" i="6" s="1"/>
  <c r="BU214" i="6" s="1"/>
  <c r="BU213" i="6" s="1"/>
  <c r="BU212" i="6" s="1"/>
  <c r="BU211" i="6" s="1"/>
  <c r="BU210" i="6" s="1"/>
  <c r="BU209" i="6" s="1"/>
  <c r="BU208" i="6" s="1"/>
  <c r="BU207" i="6" s="1"/>
  <c r="BU206" i="6" s="1"/>
  <c r="BU205" i="6" s="1"/>
  <c r="BU204" i="6" s="1"/>
  <c r="BU203" i="6" s="1"/>
  <c r="BU202" i="6" s="1"/>
  <c r="BU201" i="6" s="1"/>
  <c r="BU200" i="6" s="1"/>
  <c r="BU199" i="6" s="1"/>
  <c r="BU198" i="6" s="1"/>
  <c r="BU197" i="6" s="1"/>
  <c r="BU196" i="6" s="1"/>
  <c r="BU195" i="6" s="1"/>
  <c r="BU194" i="6" s="1"/>
  <c r="BU193" i="6" s="1"/>
  <c r="BU192" i="6" s="1"/>
  <c r="BU191" i="6" s="1"/>
  <c r="BU190" i="6" s="1"/>
  <c r="BU189" i="6" s="1"/>
  <c r="BU188" i="6" s="1"/>
  <c r="BU187" i="6" s="1"/>
  <c r="BU186" i="6" s="1"/>
  <c r="BU185" i="6" s="1"/>
  <c r="BU184" i="6" s="1"/>
  <c r="BU183" i="6" s="1"/>
  <c r="BU182" i="6" s="1"/>
  <c r="BU181" i="6" s="1"/>
  <c r="BU180" i="6" s="1"/>
  <c r="BU179" i="6" s="1"/>
  <c r="BU178" i="6" s="1"/>
  <c r="BU177" i="6" s="1"/>
  <c r="BU176" i="6" s="1"/>
  <c r="BU175" i="6" s="1"/>
  <c r="BU174" i="6" s="1"/>
  <c r="BU173" i="6" s="1"/>
  <c r="BU172" i="6" s="1"/>
  <c r="BU171" i="6" s="1"/>
  <c r="BU170" i="6" s="1"/>
  <c r="BU169" i="6" s="1"/>
  <c r="BU168" i="6" s="1"/>
  <c r="BU167" i="6" s="1"/>
  <c r="BU166" i="6" s="1"/>
  <c r="BU165" i="6" s="1"/>
  <c r="BU164" i="6" s="1"/>
  <c r="BW300" i="6"/>
  <c r="BN162" i="6"/>
  <c r="BN161" i="6" s="1"/>
  <c r="BN160" i="6" s="1"/>
  <c r="BN159" i="6" s="1"/>
  <c r="BN158" i="6" s="1"/>
  <c r="BN157" i="6" s="1"/>
  <c r="BN156" i="6" s="1"/>
  <c r="BN155" i="6" s="1"/>
  <c r="BN154" i="6" s="1"/>
  <c r="BN153" i="6" s="1"/>
  <c r="BN152" i="6" s="1"/>
  <c r="BN151" i="6" s="1"/>
  <c r="BN150" i="6" s="1"/>
  <c r="BN149" i="6" s="1"/>
  <c r="BN148" i="6" s="1"/>
  <c r="BN147" i="6" s="1"/>
  <c r="BN146" i="6" s="1"/>
  <c r="BN145" i="6" s="1"/>
  <c r="BN144" i="6" s="1"/>
  <c r="BN143" i="6" s="1"/>
  <c r="BN142" i="6" s="1"/>
  <c r="BN141" i="6" s="1"/>
  <c r="BN140" i="6" s="1"/>
  <c r="BN139" i="6" s="1"/>
  <c r="BN138" i="6" s="1"/>
  <c r="BN137" i="6" s="1"/>
  <c r="BN136" i="6" s="1"/>
  <c r="BN135" i="6" s="1"/>
  <c r="BN134" i="6" s="1"/>
  <c r="BN133" i="6" s="1"/>
  <c r="BN132" i="6" s="1"/>
  <c r="BN131" i="6" s="1"/>
  <c r="BN130" i="6" s="1"/>
  <c r="BN129" i="6" s="1"/>
  <c r="BN128" i="6" s="1"/>
  <c r="BN127" i="6" s="1"/>
  <c r="BN163" i="6"/>
  <c r="J293" i="6"/>
  <c r="F292" i="6"/>
  <c r="F291" i="6" s="1"/>
  <c r="F290" i="6" s="1"/>
  <c r="O162" i="6"/>
  <c r="O161" i="6" s="1"/>
  <c r="O160" i="6" s="1"/>
  <c r="O159" i="6" s="1"/>
  <c r="O158" i="6" s="1"/>
  <c r="O157" i="6" s="1"/>
  <c r="O156" i="6" s="1"/>
  <c r="O155" i="6" s="1"/>
  <c r="O154" i="6" s="1"/>
  <c r="O153" i="6" s="1"/>
  <c r="O152" i="6" s="1"/>
  <c r="O151" i="6" s="1"/>
  <c r="O150" i="6" s="1"/>
  <c r="O149" i="6" s="1"/>
  <c r="O148" i="6" s="1"/>
  <c r="O147" i="6" s="1"/>
  <c r="O146" i="6" s="1"/>
  <c r="O145" i="6" s="1"/>
  <c r="O144" i="6" s="1"/>
  <c r="O143" i="6" s="1"/>
  <c r="O142" i="6" s="1"/>
  <c r="O141" i="6" s="1"/>
  <c r="O140" i="6" s="1"/>
  <c r="O139" i="6" s="1"/>
  <c r="O138" i="6" s="1"/>
  <c r="O137" i="6" s="1"/>
  <c r="O136" i="6" s="1"/>
  <c r="O135" i="6" s="1"/>
  <c r="O134" i="6" s="1"/>
  <c r="O133" i="6" s="1"/>
  <c r="O132" i="6" s="1"/>
  <c r="O131" i="6" s="1"/>
  <c r="O130" i="6" s="1"/>
  <c r="O129" i="6" s="1"/>
  <c r="O128" i="6" s="1"/>
  <c r="O127" i="6" s="1"/>
  <c r="O163" i="6"/>
  <c r="M298" i="6"/>
  <c r="Q299" i="6"/>
  <c r="T162" i="6"/>
  <c r="T161" i="6" s="1"/>
  <c r="T160" i="6" s="1"/>
  <c r="T159" i="6" s="1"/>
  <c r="T158" i="6" s="1"/>
  <c r="T157" i="6" s="1"/>
  <c r="T156" i="6" s="1"/>
  <c r="T155" i="6" s="1"/>
  <c r="T154" i="6" s="1"/>
  <c r="T153" i="6" s="1"/>
  <c r="T152" i="6" s="1"/>
  <c r="T151" i="6" s="1"/>
  <c r="T150" i="6" s="1"/>
  <c r="T149" i="6" s="1"/>
  <c r="T148" i="6" s="1"/>
  <c r="T147" i="6" s="1"/>
  <c r="T146" i="6" s="1"/>
  <c r="T145" i="6" s="1"/>
  <c r="T144" i="6" s="1"/>
  <c r="T143" i="6" s="1"/>
  <c r="T142" i="6" s="1"/>
  <c r="T141" i="6" s="1"/>
  <c r="T140" i="6" s="1"/>
  <c r="T139" i="6" s="1"/>
  <c r="T138" i="6" s="1"/>
  <c r="T137" i="6" s="1"/>
  <c r="T136" i="6" s="1"/>
  <c r="T135" i="6" s="1"/>
  <c r="T134" i="6" s="1"/>
  <c r="T133" i="6" s="1"/>
  <c r="T132" i="6" s="1"/>
  <c r="T131" i="6" s="1"/>
  <c r="T130" i="6" s="1"/>
  <c r="T129" i="6" s="1"/>
  <c r="T128" i="6" s="1"/>
  <c r="T127" i="6" s="1"/>
  <c r="T163" i="6"/>
  <c r="AH299" i="6"/>
  <c r="AH298" i="6" s="1"/>
  <c r="AH297" i="6" s="1"/>
  <c r="AH296" i="6" s="1"/>
  <c r="AH295" i="6" s="1"/>
  <c r="AH294" i="6" s="1"/>
  <c r="AH293" i="6" s="1"/>
  <c r="AH292" i="6" s="1"/>
  <c r="AH291" i="6" s="1"/>
  <c r="AH290" i="6" s="1"/>
  <c r="AH289" i="6" s="1"/>
  <c r="AH288" i="6" s="1"/>
  <c r="AH287" i="6" s="1"/>
  <c r="AH286" i="6" s="1"/>
  <c r="AH285" i="6" s="1"/>
  <c r="AH284" i="6" s="1"/>
  <c r="AH283" i="6" s="1"/>
  <c r="AH282" i="6" s="1"/>
  <c r="AH281" i="6" s="1"/>
  <c r="AH280" i="6" s="1"/>
  <c r="AH279" i="6" s="1"/>
  <c r="AH278" i="6" s="1"/>
  <c r="AH277" i="6" s="1"/>
  <c r="AH276" i="6" s="1"/>
  <c r="AH275" i="6" s="1"/>
  <c r="AH274" i="6" s="1"/>
  <c r="AH273" i="6" s="1"/>
  <c r="AH272" i="6" s="1"/>
  <c r="AH271" i="6" s="1"/>
  <c r="AH270" i="6" s="1"/>
  <c r="AH269" i="6" s="1"/>
  <c r="AH268" i="6" s="1"/>
  <c r="AH267" i="6" s="1"/>
  <c r="AH266" i="6" s="1"/>
  <c r="AH265" i="6" s="1"/>
  <c r="AH264" i="6" s="1"/>
  <c r="AH263" i="6" s="1"/>
  <c r="AH262" i="6" s="1"/>
  <c r="AH261" i="6" s="1"/>
  <c r="AH260" i="6" s="1"/>
  <c r="AH259" i="6" s="1"/>
  <c r="AH258" i="6" s="1"/>
  <c r="AH257" i="6" s="1"/>
  <c r="AH256" i="6" s="1"/>
  <c r="AH255" i="6" s="1"/>
  <c r="AH254" i="6" s="1"/>
  <c r="AH253" i="6" s="1"/>
  <c r="AH252" i="6" s="1"/>
  <c r="AH251" i="6" s="1"/>
  <c r="AH250" i="6" s="1"/>
  <c r="AH249" i="6" s="1"/>
  <c r="AH248" i="6" s="1"/>
  <c r="AH247" i="6" s="1"/>
  <c r="AH246" i="6" s="1"/>
  <c r="AH245" i="6" s="1"/>
  <c r="AH244" i="6" s="1"/>
  <c r="AH243" i="6" s="1"/>
  <c r="AH242" i="6" s="1"/>
  <c r="AH241" i="6" s="1"/>
  <c r="AH240" i="6" s="1"/>
  <c r="AH239" i="6" s="1"/>
  <c r="AH238" i="6" s="1"/>
  <c r="AH237" i="6" s="1"/>
  <c r="AH236" i="6" s="1"/>
  <c r="AH235" i="6" s="1"/>
  <c r="AH234" i="6" s="1"/>
  <c r="AH233" i="6" s="1"/>
  <c r="AH232" i="6" s="1"/>
  <c r="AH231" i="6" s="1"/>
  <c r="AH230" i="6" s="1"/>
  <c r="AH229" i="6" s="1"/>
  <c r="AH228" i="6" s="1"/>
  <c r="AH227" i="6" s="1"/>
  <c r="AH226" i="6" s="1"/>
  <c r="AH225" i="6" s="1"/>
  <c r="AH224" i="6" s="1"/>
  <c r="AH223" i="6" s="1"/>
  <c r="AH222" i="6" s="1"/>
  <c r="AH221" i="6" s="1"/>
  <c r="AH220" i="6" s="1"/>
  <c r="AH219" i="6" s="1"/>
  <c r="AH218" i="6" s="1"/>
  <c r="AH217" i="6" s="1"/>
  <c r="AH216" i="6" s="1"/>
  <c r="AH215" i="6" s="1"/>
  <c r="AH214" i="6" s="1"/>
  <c r="AH213" i="6" s="1"/>
  <c r="AH212" i="6" s="1"/>
  <c r="AH211" i="6" s="1"/>
  <c r="AH210" i="6" s="1"/>
  <c r="AH209" i="6" s="1"/>
  <c r="AH208" i="6" s="1"/>
  <c r="AH207" i="6" s="1"/>
  <c r="AH206" i="6" s="1"/>
  <c r="AH205" i="6" s="1"/>
  <c r="AH204" i="6" s="1"/>
  <c r="AH203" i="6" s="1"/>
  <c r="AH202" i="6" s="1"/>
  <c r="AH201" i="6" s="1"/>
  <c r="AH200" i="6" s="1"/>
  <c r="AH199" i="6" s="1"/>
  <c r="AH198" i="6" s="1"/>
  <c r="AH197" i="6" s="1"/>
  <c r="AH196" i="6" s="1"/>
  <c r="AH195" i="6" s="1"/>
  <c r="AH194" i="6" s="1"/>
  <c r="AH193" i="6" s="1"/>
  <c r="AH192" i="6" s="1"/>
  <c r="AH191" i="6" s="1"/>
  <c r="AH190" i="6" s="1"/>
  <c r="AH189" i="6" s="1"/>
  <c r="AH188" i="6" s="1"/>
  <c r="AH187" i="6" s="1"/>
  <c r="AH186" i="6" s="1"/>
  <c r="AH185" i="6" s="1"/>
  <c r="AH184" i="6" s="1"/>
  <c r="AH183" i="6" s="1"/>
  <c r="AH182" i="6" s="1"/>
  <c r="AH181" i="6" s="1"/>
  <c r="AH180" i="6" s="1"/>
  <c r="AH179" i="6" s="1"/>
  <c r="AH178" i="6" s="1"/>
  <c r="AH177" i="6" s="1"/>
  <c r="AH176" i="6" s="1"/>
  <c r="AH175" i="6" s="1"/>
  <c r="AH174" i="6" s="1"/>
  <c r="AH173" i="6" s="1"/>
  <c r="AH172" i="6" s="1"/>
  <c r="AH171" i="6" s="1"/>
  <c r="AH170" i="6" s="1"/>
  <c r="AH169" i="6" s="1"/>
  <c r="AH168" i="6" s="1"/>
  <c r="AH167" i="6" s="1"/>
  <c r="AH166" i="6" s="1"/>
  <c r="AH165" i="6" s="1"/>
  <c r="AH164" i="6" s="1"/>
  <c r="AH163" i="6" s="1"/>
  <c r="AH162" i="6" s="1"/>
  <c r="AH161" i="6" s="1"/>
  <c r="AH160" i="6" s="1"/>
  <c r="AH159" i="6" s="1"/>
  <c r="AH158" i="6" s="1"/>
  <c r="AH157" i="6" s="1"/>
  <c r="AH156" i="6" s="1"/>
  <c r="AH155" i="6" s="1"/>
  <c r="AH154" i="6" s="1"/>
  <c r="AH153" i="6" s="1"/>
  <c r="AH152" i="6" s="1"/>
  <c r="AH151" i="6" s="1"/>
  <c r="AH150" i="6" s="1"/>
  <c r="AH149" i="6" s="1"/>
  <c r="AH148" i="6" s="1"/>
  <c r="AH147" i="6" s="1"/>
  <c r="AH146" i="6" s="1"/>
  <c r="AH145" i="6" s="1"/>
  <c r="AH144" i="6" s="1"/>
  <c r="AH143" i="6" s="1"/>
  <c r="AH142" i="6" s="1"/>
  <c r="AH141" i="6" s="1"/>
  <c r="AH140" i="6" s="1"/>
  <c r="AH139" i="6" s="1"/>
  <c r="AH138" i="6" s="1"/>
  <c r="AH137" i="6" s="1"/>
  <c r="AH136" i="6" s="1"/>
  <c r="AH135" i="6" s="1"/>
  <c r="AH134" i="6" s="1"/>
  <c r="AH133" i="6" s="1"/>
  <c r="AH132" i="6" s="1"/>
  <c r="AH131" i="6" s="1"/>
  <c r="AH130" i="6" s="1"/>
  <c r="AH129" i="6" s="1"/>
  <c r="AH128" i="6" s="1"/>
  <c r="AH127" i="6" s="1"/>
  <c r="AJ300" i="6"/>
  <c r="AD183" i="6"/>
  <c r="AD182" i="6" s="1"/>
  <c r="AD181" i="6" s="1"/>
  <c r="AD180" i="6" s="1"/>
  <c r="J301" i="6"/>
  <c r="BP302" i="6" l="1"/>
  <c r="AR129" i="6"/>
  <c r="AR128" i="6" s="1"/>
  <c r="AR127" i="6" s="1"/>
  <c r="BU24" i="10"/>
  <c r="G35" i="10"/>
  <c r="E35" i="10" s="1"/>
  <c r="C35" i="10" s="1"/>
  <c r="BP33" i="10"/>
  <c r="BT34" i="10"/>
  <c r="BA29" i="10"/>
  <c r="BC31" i="10"/>
  <c r="BG32" i="10"/>
  <c r="BM32" i="10" s="1"/>
  <c r="BN30" i="10"/>
  <c r="BY28" i="10"/>
  <c r="CA29" i="10"/>
  <c r="H32" i="10"/>
  <c r="AV27" i="10"/>
  <c r="AX28" i="10"/>
  <c r="DQ40" i="17"/>
  <c r="DL43" i="17"/>
  <c r="BH27" i="10"/>
  <c r="BL28" i="10"/>
  <c r="AQ34" i="10"/>
  <c r="AU35" i="10"/>
  <c r="AH32" i="10"/>
  <c r="AN33" i="10"/>
  <c r="J34" i="10"/>
  <c r="N35" i="10"/>
  <c r="AO299" i="6"/>
  <c r="AQ300" i="6"/>
  <c r="AQ302" i="6" s="1"/>
  <c r="V31" i="10"/>
  <c r="AC29" i="10"/>
  <c r="AG30" i="10"/>
  <c r="DS12" i="17"/>
  <c r="DS41" i="17" s="1"/>
  <c r="DP41" i="17"/>
  <c r="X33" i="10"/>
  <c r="AB34" i="10"/>
  <c r="O31" i="10"/>
  <c r="U32" i="10"/>
  <c r="AO31" i="10"/>
  <c r="AJ24" i="10"/>
  <c r="AJ23" i="10" s="1"/>
  <c r="AJ22" i="10" s="1"/>
  <c r="AJ21" i="10" s="1"/>
  <c r="AJ20" i="10" s="1"/>
  <c r="AJ19" i="10" s="1"/>
  <c r="AJ18" i="10" s="1"/>
  <c r="AN34" i="10"/>
  <c r="AL28" i="10"/>
  <c r="AL27" i="10" s="1"/>
  <c r="AL26" i="10" s="1"/>
  <c r="AL25" i="10" s="1"/>
  <c r="AL24" i="10" s="1"/>
  <c r="AL23" i="10" s="1"/>
  <c r="AL22" i="10" s="1"/>
  <c r="AL21" i="10" s="1"/>
  <c r="AT199" i="6"/>
  <c r="BW302" i="6"/>
  <c r="X302" i="6"/>
  <c r="AK191" i="6"/>
  <c r="BW299" i="6"/>
  <c r="AU301" i="6"/>
  <c r="J302" i="6"/>
  <c r="AD179" i="6"/>
  <c r="M297" i="6"/>
  <c r="Q298" i="6"/>
  <c r="BU162" i="6"/>
  <c r="BU161" i="6" s="1"/>
  <c r="BU160" i="6" s="1"/>
  <c r="BU159" i="6" s="1"/>
  <c r="BU158" i="6" s="1"/>
  <c r="BU157" i="6" s="1"/>
  <c r="BU156" i="6" s="1"/>
  <c r="BU155" i="6" s="1"/>
  <c r="BU154" i="6" s="1"/>
  <c r="BU153" i="6" s="1"/>
  <c r="BU152" i="6" s="1"/>
  <c r="BU151" i="6" s="1"/>
  <c r="BU150" i="6" s="1"/>
  <c r="BU149" i="6" s="1"/>
  <c r="BU148" i="6" s="1"/>
  <c r="BU147" i="6" s="1"/>
  <c r="BU146" i="6" s="1"/>
  <c r="BU145" i="6" s="1"/>
  <c r="BU144" i="6" s="1"/>
  <c r="BU143" i="6" s="1"/>
  <c r="BU142" i="6" s="1"/>
  <c r="BU141" i="6" s="1"/>
  <c r="BU140" i="6" s="1"/>
  <c r="BU139" i="6" s="1"/>
  <c r="BU138" i="6" s="1"/>
  <c r="BU137" i="6" s="1"/>
  <c r="BU136" i="6" s="1"/>
  <c r="BU135" i="6" s="1"/>
  <c r="BU134" i="6" s="1"/>
  <c r="BU133" i="6" s="1"/>
  <c r="BU132" i="6" s="1"/>
  <c r="BU131" i="6" s="1"/>
  <c r="BU130" i="6" s="1"/>
  <c r="BU129" i="6" s="1"/>
  <c r="BU128" i="6" s="1"/>
  <c r="BU127" i="6" s="1"/>
  <c r="BU163" i="6"/>
  <c r="BQ297" i="6"/>
  <c r="BW298" i="6"/>
  <c r="BI300" i="6"/>
  <c r="BI302" i="6" s="1"/>
  <c r="BH302" i="6"/>
  <c r="AJ299" i="6"/>
  <c r="BH299" i="6"/>
  <c r="AU300" i="6"/>
  <c r="AJ302" i="6"/>
  <c r="F289" i="6"/>
  <c r="J290" i="6"/>
  <c r="AJ298" i="6"/>
  <c r="AF297" i="6"/>
  <c r="AC299" i="6"/>
  <c r="Y298" i="6"/>
  <c r="R298" i="6"/>
  <c r="X299" i="6"/>
  <c r="K286" i="6"/>
  <c r="K285" i="6" s="1"/>
  <c r="BJ298" i="6"/>
  <c r="BP299" i="6"/>
  <c r="D298" i="6"/>
  <c r="J299" i="6"/>
  <c r="BD297" i="6"/>
  <c r="BD296" i="6" s="1"/>
  <c r="BH298" i="6"/>
  <c r="AW298" i="6"/>
  <c r="BC299" i="6"/>
  <c r="J33" i="10" l="1"/>
  <c r="N34" i="10"/>
  <c r="AY34" i="10" s="1"/>
  <c r="AQ33" i="10"/>
  <c r="AU34" i="10"/>
  <c r="DT40" i="17"/>
  <c r="DQ41" i="17"/>
  <c r="H31" i="10"/>
  <c r="H30" i="10" s="1"/>
  <c r="BA28" i="10"/>
  <c r="AO30" i="10"/>
  <c r="X32" i="10"/>
  <c r="AB33" i="10"/>
  <c r="AG29" i="10"/>
  <c r="AC28" i="10"/>
  <c r="BU23" i="10"/>
  <c r="V30" i="10"/>
  <c r="AO298" i="6"/>
  <c r="AQ299" i="6"/>
  <c r="AH31" i="10"/>
  <c r="AN32" i="10"/>
  <c r="BL27" i="10"/>
  <c r="BH26" i="10"/>
  <c r="AX27" i="10"/>
  <c r="AV26" i="10"/>
  <c r="BY27" i="10"/>
  <c r="CA28" i="10"/>
  <c r="BC30" i="10"/>
  <c r="BG31" i="10"/>
  <c r="BM31" i="10" s="1"/>
  <c r="BP32" i="10"/>
  <c r="BT33" i="10"/>
  <c r="AL20" i="10"/>
  <c r="AL19" i="10" s="1"/>
  <c r="AL18" i="10" s="1"/>
  <c r="AL17" i="10" s="1"/>
  <c r="O30" i="10"/>
  <c r="U31" i="10"/>
  <c r="AY35" i="10"/>
  <c r="BN29" i="10"/>
  <c r="AK190" i="6"/>
  <c r="AK189" i="6" s="1"/>
  <c r="Y297" i="6"/>
  <c r="Y296" i="6" s="1"/>
  <c r="AC298" i="6"/>
  <c r="AF296" i="6"/>
  <c r="AJ297" i="6"/>
  <c r="AJ304" i="6" s="1"/>
  <c r="BQ296" i="6"/>
  <c r="BW297" i="6"/>
  <c r="BW304" i="6" s="1"/>
  <c r="M296" i="6"/>
  <c r="Q297" i="6"/>
  <c r="Q304" i="6" s="1"/>
  <c r="AD178" i="6"/>
  <c r="AU299" i="6"/>
  <c r="AV299" i="6" s="1"/>
  <c r="AU302" i="6"/>
  <c r="AV302" i="6" s="1"/>
  <c r="AW297" i="6"/>
  <c r="BC298" i="6"/>
  <c r="BI298" i="6" s="1"/>
  <c r="BH296" i="6"/>
  <c r="BD295" i="6"/>
  <c r="J298" i="6"/>
  <c r="D297" i="6"/>
  <c r="BJ297" i="6"/>
  <c r="BP298" i="6"/>
  <c r="K284" i="6"/>
  <c r="R297" i="6"/>
  <c r="X298" i="6"/>
  <c r="J289" i="6"/>
  <c r="F288" i="6"/>
  <c r="BI299" i="6"/>
  <c r="BH25" i="10" l="1"/>
  <c r="BL26" i="10"/>
  <c r="BU22" i="10"/>
  <c r="AC27" i="10"/>
  <c r="AG28" i="10"/>
  <c r="AO29" i="10"/>
  <c r="BN28" i="10"/>
  <c r="O29" i="10"/>
  <c r="U30" i="10"/>
  <c r="BP31" i="10"/>
  <c r="BT32" i="10"/>
  <c r="BY26" i="10"/>
  <c r="CA27" i="10"/>
  <c r="AO297" i="6"/>
  <c r="AQ298" i="6"/>
  <c r="AU298" i="6" s="1"/>
  <c r="AV298" i="6" s="1"/>
  <c r="AV304" i="6" s="1"/>
  <c r="H29" i="10"/>
  <c r="AQ32" i="10"/>
  <c r="AU33" i="10"/>
  <c r="AL16" i="10"/>
  <c r="AL15" i="10" s="1"/>
  <c r="AV25" i="10"/>
  <c r="AX26" i="10"/>
  <c r="V29" i="10"/>
  <c r="BA27" i="10"/>
  <c r="BC29" i="10"/>
  <c r="BG30" i="10"/>
  <c r="BM30" i="10" s="1"/>
  <c r="AH30" i="10"/>
  <c r="AN31" i="10"/>
  <c r="X31" i="10"/>
  <c r="AB32" i="10"/>
  <c r="I33" i="10"/>
  <c r="J32" i="10"/>
  <c r="AK188" i="6"/>
  <c r="BJ296" i="6"/>
  <c r="BP297" i="6"/>
  <c r="BP304" i="6" s="1"/>
  <c r="AW296" i="6"/>
  <c r="BC297" i="6"/>
  <c r="BC304" i="6" s="1"/>
  <c r="F287" i="6"/>
  <c r="J288" i="6"/>
  <c r="K283" i="6"/>
  <c r="K282" i="6" s="1"/>
  <c r="K281" i="6" s="1"/>
  <c r="D296" i="6"/>
  <c r="J297" i="6"/>
  <c r="J304" i="6" s="1"/>
  <c r="BD294" i="6"/>
  <c r="BH295" i="6"/>
  <c r="AD177" i="6"/>
  <c r="AD176" i="6" s="1"/>
  <c r="AD175" i="6" s="1"/>
  <c r="AD174" i="6" s="1"/>
  <c r="M295" i="6"/>
  <c r="Q296" i="6"/>
  <c r="BW296" i="6"/>
  <c r="BQ295" i="6"/>
  <c r="AJ296" i="6"/>
  <c r="AF295" i="6"/>
  <c r="Y295" i="6"/>
  <c r="AC296" i="6"/>
  <c r="R296" i="6"/>
  <c r="X297" i="6"/>
  <c r="X304" i="6" s="1"/>
  <c r="J31" i="10" l="1"/>
  <c r="N32" i="10"/>
  <c r="BY25" i="10"/>
  <c r="CA26" i="10"/>
  <c r="O28" i="10"/>
  <c r="U29" i="10"/>
  <c r="BU21" i="10"/>
  <c r="CI33" i="10"/>
  <c r="CK33" i="10" s="1"/>
  <c r="G33" i="10"/>
  <c r="E33" i="10" s="1"/>
  <c r="C33" i="10" s="1"/>
  <c r="N33" i="10"/>
  <c r="AY33" i="10" s="1"/>
  <c r="AH29" i="10"/>
  <c r="AN30" i="10"/>
  <c r="BA26" i="10"/>
  <c r="AV24" i="10"/>
  <c r="AX25" i="10"/>
  <c r="AQ31" i="10"/>
  <c r="AU32" i="10"/>
  <c r="AY32" i="10" s="1"/>
  <c r="AO296" i="6"/>
  <c r="AQ297" i="6"/>
  <c r="AQ304" i="6" s="1"/>
  <c r="BN27" i="10"/>
  <c r="AO28" i="10"/>
  <c r="H28" i="10"/>
  <c r="BP30" i="10"/>
  <c r="BT31" i="10"/>
  <c r="X30" i="10"/>
  <c r="AB31" i="10"/>
  <c r="BC28" i="10"/>
  <c r="BG29" i="10"/>
  <c r="BM29" i="10" s="1"/>
  <c r="V28" i="10"/>
  <c r="AG27" i="10"/>
  <c r="AC26" i="10"/>
  <c r="BH24" i="10"/>
  <c r="BL25" i="10"/>
  <c r="AK187" i="6"/>
  <c r="AK186" i="6" s="1"/>
  <c r="R295" i="6"/>
  <c r="X296" i="6"/>
  <c r="AF294" i="6"/>
  <c r="AJ295" i="6"/>
  <c r="BQ294" i="6"/>
  <c r="BW295" i="6"/>
  <c r="Y294" i="6"/>
  <c r="AC295" i="6"/>
  <c r="M294" i="6"/>
  <c r="Q295" i="6"/>
  <c r="AD173" i="6"/>
  <c r="BH294" i="6"/>
  <c r="BD293" i="6"/>
  <c r="D295" i="6"/>
  <c r="J296" i="6"/>
  <c r="K280" i="6"/>
  <c r="J287" i="6"/>
  <c r="F286" i="6"/>
  <c r="F285" i="6" s="1"/>
  <c r="AW295" i="6"/>
  <c r="BC296" i="6"/>
  <c r="BI296" i="6" s="1"/>
  <c r="BJ295" i="6"/>
  <c r="BP296" i="6"/>
  <c r="AC25" i="10" l="1"/>
  <c r="AG26" i="10"/>
  <c r="H27" i="10"/>
  <c r="BN26" i="10"/>
  <c r="AQ30" i="10"/>
  <c r="AU31" i="10"/>
  <c r="AY31" i="10" s="1"/>
  <c r="O27" i="10"/>
  <c r="U28" i="10"/>
  <c r="V27" i="10"/>
  <c r="BP29" i="10"/>
  <c r="BT30" i="10"/>
  <c r="AO27" i="10"/>
  <c r="AO295" i="6"/>
  <c r="AQ296" i="6"/>
  <c r="AU296" i="6" s="1"/>
  <c r="AV23" i="10"/>
  <c r="AX24" i="10"/>
  <c r="AH28" i="10"/>
  <c r="AN29" i="10"/>
  <c r="BC27" i="10"/>
  <c r="BG28" i="10"/>
  <c r="BM28" i="10" s="1"/>
  <c r="BH23" i="10"/>
  <c r="BL24" i="10"/>
  <c r="X29" i="10"/>
  <c r="AB30" i="10"/>
  <c r="BA25" i="10"/>
  <c r="BU20" i="10"/>
  <c r="BY24" i="10"/>
  <c r="CA25" i="10"/>
  <c r="N31" i="10"/>
  <c r="J30" i="10"/>
  <c r="AK185" i="6"/>
  <c r="BP295" i="6"/>
  <c r="BJ294" i="6"/>
  <c r="BC295" i="6"/>
  <c r="BI295" i="6" s="1"/>
  <c r="AW294" i="6"/>
  <c r="J295" i="6"/>
  <c r="D294" i="6"/>
  <c r="J294" i="6" s="1"/>
  <c r="AD172" i="6"/>
  <c r="M293" i="6"/>
  <c r="Q294" i="6"/>
  <c r="Y293" i="6"/>
  <c r="AC294" i="6"/>
  <c r="BQ293" i="6"/>
  <c r="BW294" i="6"/>
  <c r="AJ294" i="6"/>
  <c r="AF293" i="6"/>
  <c r="X295" i="6"/>
  <c r="R294" i="6"/>
  <c r="F284" i="6"/>
  <c r="J285" i="6"/>
  <c r="K279" i="6"/>
  <c r="BD292" i="6"/>
  <c r="BD291" i="6" s="1"/>
  <c r="BD290" i="6" s="1"/>
  <c r="BH293" i="6"/>
  <c r="BY23" i="10" l="1"/>
  <c r="CA24" i="10"/>
  <c r="BL23" i="10"/>
  <c r="BH22" i="10"/>
  <c r="AQ29" i="10"/>
  <c r="AU30" i="10"/>
  <c r="J29" i="10"/>
  <c r="N30" i="10"/>
  <c r="AO26" i="10"/>
  <c r="V26" i="10"/>
  <c r="U27" i="10"/>
  <c r="O26" i="10"/>
  <c r="BN25" i="10"/>
  <c r="H26" i="10"/>
  <c r="BA24" i="10"/>
  <c r="BA23" i="10" s="1"/>
  <c r="AN28" i="10"/>
  <c r="AH27" i="10"/>
  <c r="AO294" i="6"/>
  <c r="AQ295" i="6"/>
  <c r="AU295" i="6" s="1"/>
  <c r="BP28" i="10"/>
  <c r="BT29" i="10"/>
  <c r="BU19" i="10"/>
  <c r="X28" i="10"/>
  <c r="AB29" i="10"/>
  <c r="BC26" i="10"/>
  <c r="BG27" i="10"/>
  <c r="BM27" i="10" s="1"/>
  <c r="AX23" i="10"/>
  <c r="AV22" i="10"/>
  <c r="AG25" i="10"/>
  <c r="AC24" i="10"/>
  <c r="AK184" i="6"/>
  <c r="BD289" i="6"/>
  <c r="BH290" i="6"/>
  <c r="K278" i="6"/>
  <c r="F283" i="6"/>
  <c r="F282" i="6" s="1"/>
  <c r="F281" i="6" s="1"/>
  <c r="J284" i="6"/>
  <c r="J286" i="6" s="1"/>
  <c r="J291" i="6" s="1"/>
  <c r="BQ292" i="6"/>
  <c r="BQ291" i="6" s="1"/>
  <c r="BQ290" i="6" s="1"/>
  <c r="BW293" i="6"/>
  <c r="Y292" i="6"/>
  <c r="Y291" i="6" s="1"/>
  <c r="Y290" i="6" s="1"/>
  <c r="AC293" i="6"/>
  <c r="AC297" i="6" s="1"/>
  <c r="AC304" i="6" s="1"/>
  <c r="M292" i="6"/>
  <c r="M291" i="6" s="1"/>
  <c r="M290" i="6" s="1"/>
  <c r="Q293" i="6"/>
  <c r="BH297" i="6"/>
  <c r="BH304" i="6" s="1"/>
  <c r="R293" i="6"/>
  <c r="X294" i="6"/>
  <c r="AF292" i="6"/>
  <c r="AF291" i="6" s="1"/>
  <c r="AF290" i="6" s="1"/>
  <c r="AJ293" i="6"/>
  <c r="AD171" i="6"/>
  <c r="AD170" i="6" s="1"/>
  <c r="AD169" i="6" s="1"/>
  <c r="AD168" i="6" s="1"/>
  <c r="AW293" i="6"/>
  <c r="BC294" i="6"/>
  <c r="BI294" i="6" s="1"/>
  <c r="BJ293" i="6"/>
  <c r="BP294" i="6"/>
  <c r="AV21" i="10" l="1"/>
  <c r="AX22" i="10"/>
  <c r="H25" i="10"/>
  <c r="H24" i="10" s="1"/>
  <c r="BN24" i="10"/>
  <c r="BH21" i="10"/>
  <c r="BL22" i="10"/>
  <c r="AN27" i="10"/>
  <c r="AH26" i="10"/>
  <c r="X27" i="10"/>
  <c r="AB28" i="10"/>
  <c r="BP27" i="10"/>
  <c r="BT28" i="10"/>
  <c r="O25" i="10"/>
  <c r="U26" i="10"/>
  <c r="AO25" i="10"/>
  <c r="AO24" i="10" s="1"/>
  <c r="J28" i="10"/>
  <c r="N29" i="10"/>
  <c r="AG24" i="10"/>
  <c r="AC23" i="10"/>
  <c r="BA22" i="10"/>
  <c r="AY30" i="10"/>
  <c r="BC25" i="10"/>
  <c r="BG26" i="10"/>
  <c r="BM26" i="10" s="1"/>
  <c r="BU18" i="10"/>
  <c r="AO293" i="6"/>
  <c r="AQ294" i="6"/>
  <c r="AU294" i="6" s="1"/>
  <c r="V25" i="10"/>
  <c r="AQ28" i="10"/>
  <c r="AU29" i="10"/>
  <c r="BY22" i="10"/>
  <c r="CA23" i="10"/>
  <c r="AK183" i="6"/>
  <c r="AK182" i="6" s="1"/>
  <c r="AK181" i="6" s="1"/>
  <c r="AK180" i="6" s="1"/>
  <c r="BC293" i="6"/>
  <c r="BI293" i="6" s="1"/>
  <c r="BI297" i="6" s="1"/>
  <c r="BI304" i="6" s="1"/>
  <c r="AW292" i="6"/>
  <c r="AW291" i="6" s="1"/>
  <c r="AW290" i="6" s="1"/>
  <c r="AD167" i="6"/>
  <c r="X293" i="6"/>
  <c r="R292" i="6"/>
  <c r="R291" i="6" s="1"/>
  <c r="R290" i="6" s="1"/>
  <c r="Q290" i="6"/>
  <c r="M289" i="6"/>
  <c r="Y289" i="6"/>
  <c r="AC290" i="6"/>
  <c r="BW290" i="6"/>
  <c r="BQ289" i="6"/>
  <c r="F280" i="6"/>
  <c r="J281" i="6"/>
  <c r="BD288" i="6"/>
  <c r="BH289" i="6"/>
  <c r="BP293" i="6"/>
  <c r="BJ292" i="6"/>
  <c r="BJ291" i="6" s="1"/>
  <c r="BJ290" i="6" s="1"/>
  <c r="AF289" i="6"/>
  <c r="AJ290" i="6"/>
  <c r="K277" i="6"/>
  <c r="AQ27" i="10" l="1"/>
  <c r="AU28" i="10"/>
  <c r="AO292" i="6"/>
  <c r="AO291" i="6" s="1"/>
  <c r="AO290" i="6" s="1"/>
  <c r="AQ293" i="6"/>
  <c r="AU293" i="6" s="1"/>
  <c r="AU297" i="6" s="1"/>
  <c r="AU304" i="6" s="1"/>
  <c r="AV292" i="6" s="1"/>
  <c r="AZ35" i="10" s="1"/>
  <c r="CB35" i="10" s="1"/>
  <c r="CD35" i="10" s="1"/>
  <c r="CE35" i="10" s="1"/>
  <c r="BC24" i="10"/>
  <c r="BG25" i="10"/>
  <c r="BM25" i="10" s="1"/>
  <c r="AG23" i="10"/>
  <c r="AC22" i="10"/>
  <c r="J27" i="10"/>
  <c r="N28" i="10"/>
  <c r="U25" i="10"/>
  <c r="O24" i="10"/>
  <c r="X26" i="10"/>
  <c r="AB27" i="10"/>
  <c r="BH20" i="10"/>
  <c r="BL21" i="10"/>
  <c r="H23" i="10"/>
  <c r="BY21" i="10"/>
  <c r="CA22" i="10"/>
  <c r="V24" i="10"/>
  <c r="BU17" i="10"/>
  <c r="BA21" i="10"/>
  <c r="AO23" i="10"/>
  <c r="BP26" i="10"/>
  <c r="BT27" i="10"/>
  <c r="AH25" i="10"/>
  <c r="AN26" i="10"/>
  <c r="AY29" i="10"/>
  <c r="BN23" i="10"/>
  <c r="AV20" i="10"/>
  <c r="AX21" i="10"/>
  <c r="AK179" i="6"/>
  <c r="K276" i="6"/>
  <c r="AF288" i="6"/>
  <c r="AJ289" i="6"/>
  <c r="BD287" i="6"/>
  <c r="BH288" i="6"/>
  <c r="Y288" i="6"/>
  <c r="AC289" i="6"/>
  <c r="AD166" i="6"/>
  <c r="AD165" i="6" s="1"/>
  <c r="AD164" i="6" s="1"/>
  <c r="BJ289" i="6"/>
  <c r="BP290" i="6"/>
  <c r="BQ288" i="6"/>
  <c r="BW289" i="6"/>
  <c r="M288" i="6"/>
  <c r="Q289" i="6"/>
  <c r="R289" i="6"/>
  <c r="X290" i="6"/>
  <c r="AW289" i="6"/>
  <c r="BC290" i="6"/>
  <c r="BI290" i="6" s="1"/>
  <c r="F279" i="6"/>
  <c r="J280" i="6"/>
  <c r="BY20" i="10" l="1"/>
  <c r="CA21" i="10"/>
  <c r="AC21" i="10"/>
  <c r="AG22" i="10"/>
  <c r="AV19" i="10"/>
  <c r="AX20" i="10"/>
  <c r="H22" i="10"/>
  <c r="AO289" i="6"/>
  <c r="AQ290" i="6"/>
  <c r="AU290" i="6" s="1"/>
  <c r="AV290" i="6" s="1"/>
  <c r="U24" i="10"/>
  <c r="O23" i="10"/>
  <c r="BN22" i="10"/>
  <c r="BP25" i="10"/>
  <c r="BT26" i="10"/>
  <c r="BA20" i="10"/>
  <c r="V23" i="10"/>
  <c r="AY28" i="10"/>
  <c r="AH24" i="10"/>
  <c r="AN25" i="10"/>
  <c r="BU16" i="10"/>
  <c r="BH19" i="10"/>
  <c r="BL20" i="10"/>
  <c r="AO22" i="10"/>
  <c r="X25" i="10"/>
  <c r="AB26" i="10"/>
  <c r="J26" i="10"/>
  <c r="N27" i="10"/>
  <c r="BG24" i="10"/>
  <c r="BM24" i="10" s="1"/>
  <c r="BC23" i="10"/>
  <c r="AQ26" i="10"/>
  <c r="AU27" i="10"/>
  <c r="AK178" i="6"/>
  <c r="F278" i="6"/>
  <c r="J279" i="6"/>
  <c r="AD162" i="6"/>
  <c r="AD163" i="6"/>
  <c r="K275" i="6"/>
  <c r="AW288" i="6"/>
  <c r="BC289" i="6"/>
  <c r="BI289" i="6" s="1"/>
  <c r="X289" i="6"/>
  <c r="R288" i="6"/>
  <c r="M287" i="6"/>
  <c r="Q288" i="6"/>
  <c r="BW288" i="6"/>
  <c r="BQ287" i="6"/>
  <c r="BJ288" i="6"/>
  <c r="BP289" i="6"/>
  <c r="Y287" i="6"/>
  <c r="AC288" i="6"/>
  <c r="BD286" i="6"/>
  <c r="BD285" i="6" s="1"/>
  <c r="BH287" i="6"/>
  <c r="AF287" i="6"/>
  <c r="AJ288" i="6"/>
  <c r="CL35" i="10"/>
  <c r="CG35" i="10"/>
  <c r="BH18" i="10" l="1"/>
  <c r="BL19" i="10"/>
  <c r="AC20" i="10"/>
  <c r="AG21" i="10"/>
  <c r="AY27" i="10"/>
  <c r="AO21" i="10"/>
  <c r="BA19" i="10"/>
  <c r="AO288" i="6"/>
  <c r="AQ289" i="6"/>
  <c r="AU289" i="6" s="1"/>
  <c r="AV289" i="6" s="1"/>
  <c r="AV18" i="10"/>
  <c r="AX19" i="10"/>
  <c r="AQ25" i="10"/>
  <c r="AU26" i="10"/>
  <c r="AY26" i="10" s="1"/>
  <c r="J25" i="10"/>
  <c r="N26" i="10"/>
  <c r="V22" i="10"/>
  <c r="U23" i="10"/>
  <c r="O22" i="10"/>
  <c r="H21" i="10"/>
  <c r="BY19" i="10"/>
  <c r="CA20" i="10"/>
  <c r="X24" i="10"/>
  <c r="AB25" i="10"/>
  <c r="AN24" i="10"/>
  <c r="AH23" i="10"/>
  <c r="BN21" i="10"/>
  <c r="BC22" i="10"/>
  <c r="BG23" i="10"/>
  <c r="BM23" i="10" s="1"/>
  <c r="BP24" i="10"/>
  <c r="BT25" i="10"/>
  <c r="AK177" i="6"/>
  <c r="AK176" i="6" s="1"/>
  <c r="AK175" i="6" s="1"/>
  <c r="AK174" i="6" s="1"/>
  <c r="AF286" i="6"/>
  <c r="AF285" i="6" s="1"/>
  <c r="AJ287" i="6"/>
  <c r="BD284" i="6"/>
  <c r="BH285" i="6"/>
  <c r="Y286" i="6"/>
  <c r="Y285" i="6" s="1"/>
  <c r="AC287" i="6"/>
  <c r="BQ286" i="6"/>
  <c r="BQ285" i="6" s="1"/>
  <c r="BW287" i="6"/>
  <c r="R287" i="6"/>
  <c r="X288" i="6"/>
  <c r="K274" i="6"/>
  <c r="AD161" i="6"/>
  <c r="F277" i="6"/>
  <c r="J278" i="6"/>
  <c r="BJ287" i="6"/>
  <c r="BP288" i="6"/>
  <c r="M286" i="6"/>
  <c r="M285" i="6" s="1"/>
  <c r="Q287" i="6"/>
  <c r="AW287" i="6"/>
  <c r="BC288" i="6"/>
  <c r="BI288" i="6" s="1"/>
  <c r="BC21" i="10" l="1"/>
  <c r="BG22" i="10"/>
  <c r="BM22" i="10" s="1"/>
  <c r="AN23" i="10"/>
  <c r="AH22" i="10"/>
  <c r="O21" i="10"/>
  <c r="U22" i="10"/>
  <c r="AU25" i="10"/>
  <c r="AY25" i="10" s="1"/>
  <c r="AQ24" i="10"/>
  <c r="AO287" i="6"/>
  <c r="AQ288" i="6"/>
  <c r="AU288" i="6" s="1"/>
  <c r="AV288" i="6" s="1"/>
  <c r="AC19" i="10"/>
  <c r="AG20" i="10"/>
  <c r="BN20" i="10"/>
  <c r="BP23" i="10"/>
  <c r="BT24" i="10"/>
  <c r="BY18" i="10"/>
  <c r="CA19" i="10"/>
  <c r="AO20" i="10"/>
  <c r="X23" i="10"/>
  <c r="AB24" i="10"/>
  <c r="H20" i="10"/>
  <c r="V21" i="10"/>
  <c r="N25" i="10"/>
  <c r="J24" i="10"/>
  <c r="AV17" i="10"/>
  <c r="AX18" i="10"/>
  <c r="BA18" i="10"/>
  <c r="BH17" i="10"/>
  <c r="BL18" i="10"/>
  <c r="AK173" i="6"/>
  <c r="M284" i="6"/>
  <c r="Q285" i="6"/>
  <c r="BJ286" i="6"/>
  <c r="BJ285" i="6" s="1"/>
  <c r="BP287" i="6"/>
  <c r="K273" i="6"/>
  <c r="F276" i="6"/>
  <c r="J277" i="6"/>
  <c r="AD160" i="6"/>
  <c r="AD159" i="6" s="1"/>
  <c r="AD158" i="6" s="1"/>
  <c r="X287" i="6"/>
  <c r="R286" i="6"/>
  <c r="R285" i="6" s="1"/>
  <c r="BQ284" i="6"/>
  <c r="BW285" i="6"/>
  <c r="AC285" i="6"/>
  <c r="Y284" i="6"/>
  <c r="BH284" i="6"/>
  <c r="BD283" i="6"/>
  <c r="BD282" i="6" s="1"/>
  <c r="BD281" i="6" s="1"/>
  <c r="AF284" i="6"/>
  <c r="AJ285" i="6"/>
  <c r="AW286" i="6"/>
  <c r="AW285" i="6" s="1"/>
  <c r="BC287" i="6"/>
  <c r="BI287" i="6" s="1"/>
  <c r="BH16" i="10" l="1"/>
  <c r="AV16" i="10"/>
  <c r="V20" i="10"/>
  <c r="X22" i="10"/>
  <c r="AB23" i="10"/>
  <c r="BP22" i="10"/>
  <c r="BT23" i="10"/>
  <c r="AC18" i="10"/>
  <c r="AG19" i="10"/>
  <c r="J23" i="10"/>
  <c r="N24" i="10"/>
  <c r="BY17" i="10"/>
  <c r="BY16" i="10" s="1"/>
  <c r="CA16" i="10" s="1"/>
  <c r="CA18" i="10"/>
  <c r="BN19" i="10"/>
  <c r="AO286" i="6"/>
  <c r="AO285" i="6" s="1"/>
  <c r="AQ287" i="6"/>
  <c r="AU287" i="6" s="1"/>
  <c r="AV287" i="6" s="1"/>
  <c r="AV291" i="6" s="1"/>
  <c r="O20" i="10"/>
  <c r="U21" i="10"/>
  <c r="BC20" i="10"/>
  <c r="BG21" i="10"/>
  <c r="BM21" i="10" s="1"/>
  <c r="BA17" i="10"/>
  <c r="H19" i="10"/>
  <c r="AO19" i="10"/>
  <c r="AQ23" i="10"/>
  <c r="AU24" i="10"/>
  <c r="AH21" i="10"/>
  <c r="AN22" i="10"/>
  <c r="AK172" i="6"/>
  <c r="AW284" i="6"/>
  <c r="BC285" i="6"/>
  <c r="BI285" i="6" s="1"/>
  <c r="BD280" i="6"/>
  <c r="BH281" i="6"/>
  <c r="Y283" i="6"/>
  <c r="Y282" i="6" s="1"/>
  <c r="Y281" i="6" s="1"/>
  <c r="AC284" i="6"/>
  <c r="AC286" i="6" s="1"/>
  <c r="AC291" i="6" s="1"/>
  <c r="R284" i="6"/>
  <c r="X285" i="6"/>
  <c r="AF283" i="6"/>
  <c r="AF282" i="6" s="1"/>
  <c r="AF281" i="6" s="1"/>
  <c r="AJ284" i="6"/>
  <c r="BH286" i="6"/>
  <c r="BH291" i="6" s="1"/>
  <c r="BW284" i="6"/>
  <c r="BW286" i="6" s="1"/>
  <c r="BW291" i="6" s="1"/>
  <c r="BQ283" i="6"/>
  <c r="BQ282" i="6" s="1"/>
  <c r="BQ281" i="6" s="1"/>
  <c r="AD157" i="6"/>
  <c r="F275" i="6"/>
  <c r="J276" i="6"/>
  <c r="K272" i="6"/>
  <c r="BJ284" i="6"/>
  <c r="BP285" i="6"/>
  <c r="M283" i="6"/>
  <c r="M282" i="6" s="1"/>
  <c r="M281" i="6" s="1"/>
  <c r="Q284" i="6"/>
  <c r="Q286" i="6" s="1"/>
  <c r="Q291" i="6" s="1"/>
  <c r="X21" i="10" l="1"/>
  <c r="AB22" i="10"/>
  <c r="AH20" i="10"/>
  <c r="AN21" i="10"/>
  <c r="AO18" i="10"/>
  <c r="BA16" i="10"/>
  <c r="O19" i="10"/>
  <c r="U20" i="10"/>
  <c r="BN18" i="10"/>
  <c r="J22" i="10"/>
  <c r="N23" i="10"/>
  <c r="BP21" i="10"/>
  <c r="BT22" i="10"/>
  <c r="BH15" i="10"/>
  <c r="BL16" i="10"/>
  <c r="AY24" i="10"/>
  <c r="CB24" i="10" s="1"/>
  <c r="V19" i="10"/>
  <c r="AQ22" i="10"/>
  <c r="AU23" i="10"/>
  <c r="AY23" i="10" s="1"/>
  <c r="H18" i="10"/>
  <c r="BC19" i="10"/>
  <c r="BG20" i="10"/>
  <c r="BM20" i="10" s="1"/>
  <c r="AO284" i="6"/>
  <c r="AQ285" i="6"/>
  <c r="AU285" i="6" s="1"/>
  <c r="AC17" i="10"/>
  <c r="AG18" i="10"/>
  <c r="AX16" i="10"/>
  <c r="AV15" i="10"/>
  <c r="AK171" i="6"/>
  <c r="AK170" i="6" s="1"/>
  <c r="AK169" i="6" s="1"/>
  <c r="AK168" i="6" s="1"/>
  <c r="M280" i="6"/>
  <c r="Q281" i="6"/>
  <c r="BJ283" i="6"/>
  <c r="BJ282" i="6" s="1"/>
  <c r="BJ281" i="6" s="1"/>
  <c r="BP284" i="6"/>
  <c r="BP286" i="6" s="1"/>
  <c r="BP291" i="6" s="1"/>
  <c r="F274" i="6"/>
  <c r="J275" i="6"/>
  <c r="AD156" i="6"/>
  <c r="AD155" i="6" s="1"/>
  <c r="AD154" i="6" s="1"/>
  <c r="AD153" i="6" s="1"/>
  <c r="AF280" i="6"/>
  <c r="AJ281" i="6"/>
  <c r="R283" i="6"/>
  <c r="R282" i="6" s="1"/>
  <c r="R281" i="6" s="1"/>
  <c r="X284" i="6"/>
  <c r="X286" i="6" s="1"/>
  <c r="X291" i="6" s="1"/>
  <c r="AC281" i="6"/>
  <c r="Y280" i="6"/>
  <c r="BD279" i="6"/>
  <c r="BH280" i="6"/>
  <c r="K271" i="6"/>
  <c r="BQ280" i="6"/>
  <c r="BW281" i="6"/>
  <c r="AJ286" i="6"/>
  <c r="AJ291" i="6" s="1"/>
  <c r="AW283" i="6"/>
  <c r="AW282" i="6" s="1"/>
  <c r="AW281" i="6" s="1"/>
  <c r="BC284" i="6"/>
  <c r="AC16" i="10" l="1"/>
  <c r="BC18" i="10"/>
  <c r="BG19" i="10"/>
  <c r="BM19" i="10" s="1"/>
  <c r="AQ21" i="10"/>
  <c r="AU22" i="10"/>
  <c r="AH19" i="10"/>
  <c r="AN20" i="10"/>
  <c r="BP20" i="10"/>
  <c r="BT21" i="10"/>
  <c r="BH14" i="10"/>
  <c r="BH13" i="10" s="1"/>
  <c r="J21" i="10"/>
  <c r="N22" i="10"/>
  <c r="O18" i="10"/>
  <c r="U18" i="10" s="1"/>
  <c r="U19" i="10"/>
  <c r="BN17" i="10"/>
  <c r="BA15" i="10"/>
  <c r="AV14" i="10"/>
  <c r="AO283" i="6"/>
  <c r="AO282" i="6" s="1"/>
  <c r="AO281" i="6" s="1"/>
  <c r="AQ284" i="6"/>
  <c r="AQ286" i="6" s="1"/>
  <c r="AQ291" i="6" s="1"/>
  <c r="H17" i="10"/>
  <c r="V18" i="10"/>
  <c r="AO17" i="10"/>
  <c r="X20" i="10"/>
  <c r="AB21" i="10"/>
  <c r="AK167" i="6"/>
  <c r="BC286" i="6"/>
  <c r="BC291" i="6" s="1"/>
  <c r="BI284" i="6"/>
  <c r="BI286" i="6" s="1"/>
  <c r="BI291" i="6" s="1"/>
  <c r="Y279" i="6"/>
  <c r="AC280" i="6"/>
  <c r="AW280" i="6"/>
  <c r="BC281" i="6"/>
  <c r="BI281" i="6" s="1"/>
  <c r="BQ279" i="6"/>
  <c r="BW280" i="6"/>
  <c r="K270" i="6"/>
  <c r="BD278" i="6"/>
  <c r="BH279" i="6"/>
  <c r="R280" i="6"/>
  <c r="X281" i="6"/>
  <c r="AF279" i="6"/>
  <c r="AJ280" i="6"/>
  <c r="AD152" i="6"/>
  <c r="F273" i="6"/>
  <c r="J274" i="6"/>
  <c r="BJ280" i="6"/>
  <c r="BP281" i="6"/>
  <c r="M279" i="6"/>
  <c r="Q280" i="6"/>
  <c r="AU284" i="6"/>
  <c r="AU286" i="6" s="1"/>
  <c r="AU291" i="6" s="1"/>
  <c r="X19" i="10" l="1"/>
  <c r="AB20" i="10"/>
  <c r="AO280" i="6"/>
  <c r="AQ281" i="6"/>
  <c r="AU281" i="6" s="1"/>
  <c r="BA14" i="10"/>
  <c r="BN16" i="10"/>
  <c r="BN15" i="10" s="1"/>
  <c r="AH18" i="10"/>
  <c r="AN19" i="10"/>
  <c r="H16" i="10"/>
  <c r="J20" i="10"/>
  <c r="N21" i="10"/>
  <c r="BP19" i="10"/>
  <c r="BT20" i="10"/>
  <c r="BC17" i="10"/>
  <c r="BC16" i="10" s="1"/>
  <c r="BG18" i="10"/>
  <c r="BM18" i="10" s="1"/>
  <c r="AO16" i="10"/>
  <c r="AY22" i="10"/>
  <c r="AV13" i="10"/>
  <c r="BH12" i="10"/>
  <c r="AQ20" i="10"/>
  <c r="AU21" i="10"/>
  <c r="AC15" i="10"/>
  <c r="AG16" i="10"/>
  <c r="AK166" i="6"/>
  <c r="AK165" i="6" s="1"/>
  <c r="AK164" i="6" s="1"/>
  <c r="AK163" i="6" s="1"/>
  <c r="AV283" i="6"/>
  <c r="AZ34" i="10" s="1"/>
  <c r="CB34" i="10" s="1"/>
  <c r="CD34" i="10" s="1"/>
  <c r="CE34" i="10" s="1"/>
  <c r="K269" i="6"/>
  <c r="M278" i="6"/>
  <c r="Q279" i="6"/>
  <c r="BJ279" i="6"/>
  <c r="BP280" i="6"/>
  <c r="F272" i="6"/>
  <c r="J273" i="6"/>
  <c r="AD151" i="6"/>
  <c r="AD150" i="6" s="1"/>
  <c r="AD149" i="6" s="1"/>
  <c r="AD148" i="6" s="1"/>
  <c r="AD147" i="6" s="1"/>
  <c r="AD146" i="6" s="1"/>
  <c r="AF278" i="6"/>
  <c r="AJ279" i="6"/>
  <c r="R279" i="6"/>
  <c r="X280" i="6"/>
  <c r="BD277" i="6"/>
  <c r="BH278" i="6"/>
  <c r="BQ278" i="6"/>
  <c r="BW279" i="6"/>
  <c r="AW279" i="6"/>
  <c r="BC280" i="6"/>
  <c r="BI280" i="6" s="1"/>
  <c r="AC279" i="6"/>
  <c r="Y278" i="6"/>
  <c r="AO279" i="6" l="1"/>
  <c r="AQ280" i="6"/>
  <c r="AY21" i="10"/>
  <c r="CB21" i="10" s="1"/>
  <c r="CD21" i="10" s="1"/>
  <c r="CE21" i="10" s="1"/>
  <c r="BC15" i="10"/>
  <c r="BC14" i="10" s="1"/>
  <c r="BG16" i="10"/>
  <c r="BM16" i="10" s="1"/>
  <c r="J19" i="10"/>
  <c r="N20" i="10"/>
  <c r="AH17" i="10"/>
  <c r="AN18" i="10"/>
  <c r="BA13" i="10"/>
  <c r="AU280" i="6"/>
  <c r="BH11" i="10"/>
  <c r="AQ19" i="10"/>
  <c r="AU20" i="10"/>
  <c r="AY20" i="10" s="1"/>
  <c r="AV12" i="10"/>
  <c r="X18" i="10"/>
  <c r="AB19" i="10"/>
  <c r="AC14" i="10"/>
  <c r="AO15" i="10"/>
  <c r="BP18" i="10"/>
  <c r="BT19" i="10"/>
  <c r="H15" i="10"/>
  <c r="BN14" i="10"/>
  <c r="BN13" i="10" s="1"/>
  <c r="AK162" i="6"/>
  <c r="Y277" i="6"/>
  <c r="AC278" i="6"/>
  <c r="AW278" i="6"/>
  <c r="BC279" i="6"/>
  <c r="BI279" i="6" s="1"/>
  <c r="BW278" i="6"/>
  <c r="BQ277" i="6"/>
  <c r="BD276" i="6"/>
  <c r="BH277" i="6"/>
  <c r="R278" i="6"/>
  <c r="X279" i="6"/>
  <c r="AF277" i="6"/>
  <c r="AJ278" i="6"/>
  <c r="F271" i="6"/>
  <c r="J272" i="6"/>
  <c r="BP279" i="6"/>
  <c r="BJ278" i="6"/>
  <c r="M277" i="6"/>
  <c r="Q278" i="6"/>
  <c r="K268" i="6"/>
  <c r="AD145" i="6"/>
  <c r="CG34" i="10"/>
  <c r="CL34" i="10"/>
  <c r="AO14" i="10" l="1"/>
  <c r="AQ18" i="10"/>
  <c r="AU18" i="10" s="1"/>
  <c r="AU19" i="10"/>
  <c r="AY19" i="10" s="1"/>
  <c r="CB19" i="10" s="1"/>
  <c r="CD19" i="10" s="1"/>
  <c r="CE19" i="10" s="1"/>
  <c r="AH16" i="10"/>
  <c r="BA12" i="10"/>
  <c r="CL21" i="10"/>
  <c r="CG21" i="10"/>
  <c r="X17" i="10"/>
  <c r="AB18" i="10"/>
  <c r="BN12" i="10"/>
  <c r="BP17" i="10"/>
  <c r="BP16" i="10" s="1"/>
  <c r="BT18" i="10"/>
  <c r="AC13" i="10"/>
  <c r="AV11" i="10"/>
  <c r="BH10" i="10"/>
  <c r="J18" i="10"/>
  <c r="N19" i="10"/>
  <c r="H14" i="10"/>
  <c r="AO278" i="6"/>
  <c r="AQ279" i="6"/>
  <c r="AU279" i="6" s="1"/>
  <c r="BY279" i="6" s="1"/>
  <c r="AK161" i="6"/>
  <c r="AD144" i="6"/>
  <c r="AD143" i="6" s="1"/>
  <c r="AD142" i="6" s="1"/>
  <c r="AD141" i="6" s="1"/>
  <c r="AD140" i="6" s="1"/>
  <c r="AD139" i="6" s="1"/>
  <c r="AD138" i="6" s="1"/>
  <c r="AD137" i="6" s="1"/>
  <c r="AD136" i="6" s="1"/>
  <c r="AD135" i="6" s="1"/>
  <c r="AD134" i="6" s="1"/>
  <c r="AD133" i="6" s="1"/>
  <c r="AD132" i="6" s="1"/>
  <c r="AD131" i="6" s="1"/>
  <c r="BJ277" i="6"/>
  <c r="BP278" i="6"/>
  <c r="BQ276" i="6"/>
  <c r="BW277" i="6"/>
  <c r="M276" i="6"/>
  <c r="Q277" i="6"/>
  <c r="F270" i="6"/>
  <c r="J271" i="6"/>
  <c r="AF276" i="6"/>
  <c r="AJ277" i="6"/>
  <c r="R277" i="6"/>
  <c r="X278" i="6"/>
  <c r="BD275" i="6"/>
  <c r="BH276" i="6"/>
  <c r="AW277" i="6"/>
  <c r="BC278" i="6"/>
  <c r="BI278" i="6" s="1"/>
  <c r="AC277" i="6"/>
  <c r="Y276" i="6"/>
  <c r="K267" i="6"/>
  <c r="BH9" i="10" l="1"/>
  <c r="BN11" i="10"/>
  <c r="BN10" i="10" s="1"/>
  <c r="CL19" i="10"/>
  <c r="CG19" i="10"/>
  <c r="AO277" i="6"/>
  <c r="AQ278" i="6"/>
  <c r="AU278" i="6" s="1"/>
  <c r="BY278" i="6" s="1"/>
  <c r="AC12" i="10"/>
  <c r="BA11" i="10"/>
  <c r="H13" i="10"/>
  <c r="J17" i="10"/>
  <c r="J16" i="10" s="1"/>
  <c r="N18" i="10"/>
  <c r="AY18" i="10" s="1"/>
  <c r="CB18" i="10" s="1"/>
  <c r="CD18" i="10" s="1"/>
  <c r="CE18" i="10" s="1"/>
  <c r="AV10" i="10"/>
  <c r="BT16" i="10"/>
  <c r="BP15" i="10"/>
  <c r="X16" i="10"/>
  <c r="AH15" i="10"/>
  <c r="AO13" i="10"/>
  <c r="AK160" i="6"/>
  <c r="AK159" i="6" s="1"/>
  <c r="AK158" i="6" s="1"/>
  <c r="K266" i="6"/>
  <c r="AW276" i="6"/>
  <c r="BC277" i="6"/>
  <c r="BI277" i="6" s="1"/>
  <c r="BD274" i="6"/>
  <c r="BH275" i="6"/>
  <c r="R276" i="6"/>
  <c r="X277" i="6"/>
  <c r="AF275" i="6"/>
  <c r="AJ276" i="6"/>
  <c r="F269" i="6"/>
  <c r="J270" i="6"/>
  <c r="M275" i="6"/>
  <c r="Q276" i="6"/>
  <c r="BQ275" i="6"/>
  <c r="BW276" i="6"/>
  <c r="BP277" i="6"/>
  <c r="BJ276" i="6"/>
  <c r="AD130" i="6"/>
  <c r="Y275" i="6"/>
  <c r="AC276" i="6"/>
  <c r="CL18" i="10" l="1"/>
  <c r="CG18" i="10"/>
  <c r="AH14" i="10"/>
  <c r="AH13" i="10" s="1"/>
  <c r="BP14" i="10"/>
  <c r="BA10" i="10"/>
  <c r="AO276" i="6"/>
  <c r="AQ277" i="6"/>
  <c r="AU277" i="6" s="1"/>
  <c r="BY277" i="6" s="1"/>
  <c r="BN9" i="10"/>
  <c r="AX10" i="10"/>
  <c r="AV9" i="10"/>
  <c r="AC11" i="10"/>
  <c r="AO12" i="10"/>
  <c r="H12" i="10"/>
  <c r="BH8" i="10"/>
  <c r="AK157" i="6"/>
  <c r="AC275" i="6"/>
  <c r="Y274" i="6"/>
  <c r="AD129" i="6"/>
  <c r="AD128" i="6" s="1"/>
  <c r="AD127" i="6" s="1"/>
  <c r="BQ274" i="6"/>
  <c r="BW275" i="6"/>
  <c r="M274" i="6"/>
  <c r="Q275" i="6"/>
  <c r="F268" i="6"/>
  <c r="J269" i="6"/>
  <c r="AF274" i="6"/>
  <c r="AJ275" i="6"/>
  <c r="R275" i="6"/>
  <c r="X276" i="6"/>
  <c r="BD273" i="6"/>
  <c r="BH274" i="6"/>
  <c r="AW275" i="6"/>
  <c r="BC276" i="6"/>
  <c r="BI276" i="6" s="1"/>
  <c r="BJ275" i="6"/>
  <c r="BP276" i="6"/>
  <c r="K265" i="6"/>
  <c r="AO275" i="6" l="1"/>
  <c r="AQ276" i="6"/>
  <c r="H11" i="10"/>
  <c r="H10" i="10" s="1"/>
  <c r="AC10" i="10"/>
  <c r="BN8" i="10"/>
  <c r="BA9" i="10"/>
  <c r="BP13" i="10"/>
  <c r="BH7" i="10"/>
  <c r="AO11" i="10"/>
  <c r="AX9" i="10"/>
  <c r="AV8" i="10"/>
  <c r="AH12" i="10"/>
  <c r="AU276" i="6"/>
  <c r="BY276" i="6" s="1"/>
  <c r="AK156" i="6"/>
  <c r="AK155" i="6" s="1"/>
  <c r="AK154" i="6" s="1"/>
  <c r="AK153" i="6" s="1"/>
  <c r="Y273" i="6"/>
  <c r="AC274" i="6"/>
  <c r="K264" i="6"/>
  <c r="BP275" i="6"/>
  <c r="BJ274" i="6"/>
  <c r="BC275" i="6"/>
  <c r="BI275" i="6" s="1"/>
  <c r="AW274" i="6"/>
  <c r="BD272" i="6"/>
  <c r="BH273" i="6"/>
  <c r="R274" i="6"/>
  <c r="X275" i="6"/>
  <c r="AF273" i="6"/>
  <c r="AJ274" i="6"/>
  <c r="F267" i="6"/>
  <c r="J268" i="6"/>
  <c r="M273" i="6"/>
  <c r="Q274" i="6"/>
  <c r="BQ273" i="6"/>
  <c r="BW274" i="6"/>
  <c r="BA8" i="10" l="1"/>
  <c r="AC9" i="10"/>
  <c r="AH11" i="10"/>
  <c r="AO274" i="6"/>
  <c r="AQ275" i="6"/>
  <c r="AU275" i="6"/>
  <c r="BY275" i="6" s="1"/>
  <c r="AV7" i="10"/>
  <c r="H9" i="10"/>
  <c r="AO10" i="10"/>
  <c r="BN7" i="10"/>
  <c r="AK152" i="6"/>
  <c r="AW273" i="6"/>
  <c r="BC274" i="6"/>
  <c r="BI274" i="6" s="1"/>
  <c r="BJ273" i="6"/>
  <c r="BP274" i="6"/>
  <c r="K263" i="6"/>
  <c r="BQ272" i="6"/>
  <c r="BW273" i="6"/>
  <c r="M272" i="6"/>
  <c r="Q273" i="6"/>
  <c r="F266" i="6"/>
  <c r="J267" i="6"/>
  <c r="AF272" i="6"/>
  <c r="AJ273" i="6"/>
  <c r="R273" i="6"/>
  <c r="X274" i="6"/>
  <c r="BD271" i="6"/>
  <c r="BH272" i="6"/>
  <c r="AC273" i="6"/>
  <c r="Y272" i="6"/>
  <c r="AH10" i="10" l="1"/>
  <c r="H8" i="10"/>
  <c r="AC8" i="10"/>
  <c r="BA7" i="10"/>
  <c r="AO9" i="10"/>
  <c r="AO273" i="6"/>
  <c r="AQ274" i="6"/>
  <c r="AU274" i="6" s="1"/>
  <c r="BY274" i="6" s="1"/>
  <c r="AK151" i="6"/>
  <c r="AK150" i="6" s="1"/>
  <c r="AK149" i="6" s="1"/>
  <c r="AK148" i="6" s="1"/>
  <c r="AK147" i="6" s="1"/>
  <c r="AK146" i="6" s="1"/>
  <c r="Y271" i="6"/>
  <c r="AC272" i="6"/>
  <c r="BD270" i="6"/>
  <c r="BH271" i="6"/>
  <c r="R272" i="6"/>
  <c r="X273" i="6"/>
  <c r="AF271" i="6"/>
  <c r="AJ272" i="6"/>
  <c r="F265" i="6"/>
  <c r="J266" i="6"/>
  <c r="M271" i="6"/>
  <c r="Q272" i="6"/>
  <c r="BQ271" i="6"/>
  <c r="BW272" i="6"/>
  <c r="K262" i="6"/>
  <c r="BP273" i="6"/>
  <c r="BJ272" i="6"/>
  <c r="BC273" i="6"/>
  <c r="BI273" i="6" s="1"/>
  <c r="AW272" i="6"/>
  <c r="AC7" i="10" l="1"/>
  <c r="AO272" i="6"/>
  <c r="AQ273" i="6"/>
  <c r="AU273" i="6" s="1"/>
  <c r="BY273" i="6" s="1"/>
  <c r="AO8" i="10"/>
  <c r="H7" i="10"/>
  <c r="AH9" i="10"/>
  <c r="AK145" i="6"/>
  <c r="AW271" i="6"/>
  <c r="BC272" i="6"/>
  <c r="BI272" i="6" s="1"/>
  <c r="BJ271" i="6"/>
  <c r="BP272" i="6"/>
  <c r="K261" i="6"/>
  <c r="BQ270" i="6"/>
  <c r="BW271" i="6"/>
  <c r="M270" i="6"/>
  <c r="Q271" i="6"/>
  <c r="F264" i="6"/>
  <c r="J265" i="6"/>
  <c r="AF270" i="6"/>
  <c r="AJ271" i="6"/>
  <c r="R271" i="6"/>
  <c r="X272" i="6"/>
  <c r="BD269" i="6"/>
  <c r="BH270" i="6"/>
  <c r="AC271" i="6"/>
  <c r="Y270" i="6"/>
  <c r="AO271" i="6" l="1"/>
  <c r="AQ272" i="6"/>
  <c r="AU272" i="6" s="1"/>
  <c r="BY272" i="6" s="1"/>
  <c r="AO7" i="10"/>
  <c r="AH8" i="10"/>
  <c r="AK144" i="6"/>
  <c r="AK143" i="6" s="1"/>
  <c r="AK142" i="6" s="1"/>
  <c r="AK141" i="6" s="1"/>
  <c r="AK140" i="6" s="1"/>
  <c r="AK139" i="6" s="1"/>
  <c r="AK138" i="6" s="1"/>
  <c r="AK137" i="6" s="1"/>
  <c r="AK136" i="6" s="1"/>
  <c r="AK135" i="6" s="1"/>
  <c r="AK134" i="6" s="1"/>
  <c r="AK133" i="6" s="1"/>
  <c r="AK132" i="6" s="1"/>
  <c r="AK131" i="6" s="1"/>
  <c r="Y269" i="6"/>
  <c r="AC270" i="6"/>
  <c r="BD268" i="6"/>
  <c r="BH269" i="6"/>
  <c r="R270" i="6"/>
  <c r="X271" i="6"/>
  <c r="AF269" i="6"/>
  <c r="AJ270" i="6"/>
  <c r="F263" i="6"/>
  <c r="J264" i="6"/>
  <c r="M269" i="6"/>
  <c r="Q270" i="6"/>
  <c r="BQ269" i="6"/>
  <c r="BW270" i="6"/>
  <c r="K260" i="6"/>
  <c r="BP271" i="6"/>
  <c r="BJ270" i="6"/>
  <c r="BC271" i="6"/>
  <c r="BI271" i="6" s="1"/>
  <c r="AW270" i="6"/>
  <c r="AH7" i="10" l="1"/>
  <c r="AO270" i="6"/>
  <c r="AQ271" i="6"/>
  <c r="AU271" i="6" s="1"/>
  <c r="BY271" i="6" s="1"/>
  <c r="AK130" i="6"/>
  <c r="AW269" i="6"/>
  <c r="BC270" i="6"/>
  <c r="BI270" i="6" s="1"/>
  <c r="BJ269" i="6"/>
  <c r="BP270" i="6"/>
  <c r="K259" i="6"/>
  <c r="BQ268" i="6"/>
  <c r="BW269" i="6"/>
  <c r="M268" i="6"/>
  <c r="Q269" i="6"/>
  <c r="F262" i="6"/>
  <c r="J263" i="6"/>
  <c r="AF268" i="6"/>
  <c r="AJ269" i="6"/>
  <c r="R269" i="6"/>
  <c r="X270" i="6"/>
  <c r="BD267" i="6"/>
  <c r="BH268" i="6"/>
  <c r="AC269" i="6"/>
  <c r="Y268" i="6"/>
  <c r="AO269" i="6" l="1"/>
  <c r="AQ270" i="6"/>
  <c r="AU270" i="6" s="1"/>
  <c r="BY270" i="6" s="1"/>
  <c r="AK129" i="6"/>
  <c r="AK128" i="6" s="1"/>
  <c r="AK127" i="6" s="1"/>
  <c r="BD266" i="6"/>
  <c r="BH267" i="6"/>
  <c r="R268" i="6"/>
  <c r="X269" i="6"/>
  <c r="AF267" i="6"/>
  <c r="AJ268" i="6"/>
  <c r="F261" i="6"/>
  <c r="J262" i="6"/>
  <c r="M267" i="6"/>
  <c r="Q268" i="6"/>
  <c r="BQ267" i="6"/>
  <c r="BW268" i="6"/>
  <c r="K258" i="6"/>
  <c r="BP269" i="6"/>
  <c r="BJ268" i="6"/>
  <c r="BC269" i="6"/>
  <c r="BI269" i="6" s="1"/>
  <c r="AW268" i="6"/>
  <c r="Y267" i="6"/>
  <c r="AC268" i="6"/>
  <c r="AO268" i="6" l="1"/>
  <c r="AQ269" i="6"/>
  <c r="AU269" i="6" s="1"/>
  <c r="BY269" i="6" s="1"/>
  <c r="AW267" i="6"/>
  <c r="BC268" i="6"/>
  <c r="BI268" i="6" s="1"/>
  <c r="BJ267" i="6"/>
  <c r="BP268" i="6"/>
  <c r="AC267" i="6"/>
  <c r="Y266" i="6"/>
  <c r="BQ266" i="6"/>
  <c r="BW267" i="6"/>
  <c r="M266" i="6"/>
  <c r="Q267" i="6"/>
  <c r="F260" i="6"/>
  <c r="J261" i="6"/>
  <c r="AF266" i="6"/>
  <c r="AJ267" i="6"/>
  <c r="R267" i="6"/>
  <c r="X268" i="6"/>
  <c r="BD265" i="6"/>
  <c r="BH266" i="6"/>
  <c r="K257" i="6"/>
  <c r="AO267" i="6" l="1"/>
  <c r="AQ268" i="6"/>
  <c r="AU268" i="6"/>
  <c r="BY268" i="6" s="1"/>
  <c r="K256" i="6"/>
  <c r="BD264" i="6"/>
  <c r="BH265" i="6"/>
  <c r="R266" i="6"/>
  <c r="X267" i="6"/>
  <c r="AF265" i="6"/>
  <c r="AJ266" i="6"/>
  <c r="F259" i="6"/>
  <c r="J260" i="6"/>
  <c r="M265" i="6"/>
  <c r="Q266" i="6"/>
  <c r="BQ265" i="6"/>
  <c r="BW266" i="6"/>
  <c r="BP267" i="6"/>
  <c r="BJ266" i="6"/>
  <c r="BC267" i="6"/>
  <c r="BI267" i="6" s="1"/>
  <c r="AW266" i="6"/>
  <c r="Y265" i="6"/>
  <c r="AC266" i="6"/>
  <c r="AO266" i="6" l="1"/>
  <c r="AQ267" i="6"/>
  <c r="AU267" i="6" s="1"/>
  <c r="BY267" i="6" s="1"/>
  <c r="AC265" i="6"/>
  <c r="Y264" i="6"/>
  <c r="AW265" i="6"/>
  <c r="BC266" i="6"/>
  <c r="BI266" i="6" s="1"/>
  <c r="BJ265" i="6"/>
  <c r="BP266" i="6"/>
  <c r="BQ264" i="6"/>
  <c r="BW265" i="6"/>
  <c r="M264" i="6"/>
  <c r="Q265" i="6"/>
  <c r="F258" i="6"/>
  <c r="J259" i="6"/>
  <c r="AF264" i="6"/>
  <c r="AJ265" i="6"/>
  <c r="R265" i="6"/>
  <c r="X266" i="6"/>
  <c r="BD263" i="6"/>
  <c r="BH264" i="6"/>
  <c r="K255" i="6"/>
  <c r="AO265" i="6" l="1"/>
  <c r="AQ266" i="6"/>
  <c r="AU266" i="6" s="1"/>
  <c r="BY266" i="6" s="1"/>
  <c r="K254" i="6"/>
  <c r="BD262" i="6"/>
  <c r="BH263" i="6"/>
  <c r="R264" i="6"/>
  <c r="X265" i="6"/>
  <c r="AF263" i="6"/>
  <c r="AJ264" i="6"/>
  <c r="F257" i="6"/>
  <c r="J258" i="6"/>
  <c r="M263" i="6"/>
  <c r="Q264" i="6"/>
  <c r="BQ263" i="6"/>
  <c r="BW264" i="6"/>
  <c r="BP265" i="6"/>
  <c r="BJ264" i="6"/>
  <c r="BC265" i="6"/>
  <c r="BI265" i="6" s="1"/>
  <c r="AW264" i="6"/>
  <c r="Y263" i="6"/>
  <c r="AC264" i="6"/>
  <c r="AO264" i="6" l="1"/>
  <c r="AQ265" i="6"/>
  <c r="AU265" i="6" s="1"/>
  <c r="BY265" i="6" s="1"/>
  <c r="AC263" i="6"/>
  <c r="Y262" i="6"/>
  <c r="BQ262" i="6"/>
  <c r="BW263" i="6"/>
  <c r="M262" i="6"/>
  <c r="Q263" i="6"/>
  <c r="F256" i="6"/>
  <c r="J257" i="6"/>
  <c r="AF262" i="6"/>
  <c r="AJ263" i="6"/>
  <c r="R263" i="6"/>
  <c r="X264" i="6"/>
  <c r="BD261" i="6"/>
  <c r="BH262" i="6"/>
  <c r="AW263" i="6"/>
  <c r="BC264" i="6"/>
  <c r="BI264" i="6" s="1"/>
  <c r="BJ263" i="6"/>
  <c r="BP264" i="6"/>
  <c r="K253" i="6"/>
  <c r="AO263" i="6" l="1"/>
  <c r="AQ264" i="6"/>
  <c r="AU264" i="6" s="1"/>
  <c r="BY264" i="6" s="1"/>
  <c r="K252" i="6"/>
  <c r="BP263" i="6"/>
  <c r="BJ262" i="6"/>
  <c r="BC263" i="6"/>
  <c r="BI263" i="6" s="1"/>
  <c r="AW262" i="6"/>
  <c r="BD260" i="6"/>
  <c r="BH261" i="6"/>
  <c r="R262" i="6"/>
  <c r="X263" i="6"/>
  <c r="AF261" i="6"/>
  <c r="AJ262" i="6"/>
  <c r="F255" i="6"/>
  <c r="J256" i="6"/>
  <c r="M261" i="6"/>
  <c r="Q262" i="6"/>
  <c r="BQ261" i="6"/>
  <c r="BW262" i="6"/>
  <c r="Y261" i="6"/>
  <c r="AC262" i="6"/>
  <c r="AO262" i="6" l="1"/>
  <c r="AQ263" i="6"/>
  <c r="AU263" i="6"/>
  <c r="BY263" i="6" s="1"/>
  <c r="BQ260" i="6"/>
  <c r="BW261" i="6"/>
  <c r="M260" i="6"/>
  <c r="Q261" i="6"/>
  <c r="F254" i="6"/>
  <c r="J255" i="6"/>
  <c r="AF260" i="6"/>
  <c r="AJ261" i="6"/>
  <c r="R261" i="6"/>
  <c r="X262" i="6"/>
  <c r="BD259" i="6"/>
  <c r="BH260" i="6"/>
  <c r="AC261" i="6"/>
  <c r="Y260" i="6"/>
  <c r="AW261" i="6"/>
  <c r="BC262" i="6"/>
  <c r="BI262" i="6" s="1"/>
  <c r="BJ261" i="6"/>
  <c r="BP262" i="6"/>
  <c r="K251" i="6"/>
  <c r="AO261" i="6" l="1"/>
  <c r="AQ262" i="6"/>
  <c r="AU262" i="6" s="1"/>
  <c r="BY262" i="6" s="1"/>
  <c r="K250" i="6"/>
  <c r="BP261" i="6"/>
  <c r="BJ260" i="6"/>
  <c r="Y259" i="6"/>
  <c r="AC260" i="6"/>
  <c r="BD258" i="6"/>
  <c r="BH259" i="6"/>
  <c r="R260" i="6"/>
  <c r="X261" i="6"/>
  <c r="AF259" i="6"/>
  <c r="AJ260" i="6"/>
  <c r="F253" i="6"/>
  <c r="J254" i="6"/>
  <c r="M259" i="6"/>
  <c r="Q260" i="6"/>
  <c r="BQ259" i="6"/>
  <c r="BW260" i="6"/>
  <c r="BC261" i="6"/>
  <c r="BI261" i="6" s="1"/>
  <c r="AW260" i="6"/>
  <c r="AO260" i="6" l="1"/>
  <c r="AQ261" i="6"/>
  <c r="AU261" i="6" s="1"/>
  <c r="BY261" i="6" s="1"/>
  <c r="AW259" i="6"/>
  <c r="BC260" i="6"/>
  <c r="BI260" i="6" s="1"/>
  <c r="BQ258" i="6"/>
  <c r="BW259" i="6"/>
  <c r="M258" i="6"/>
  <c r="Q259" i="6"/>
  <c r="F252" i="6"/>
  <c r="J253" i="6"/>
  <c r="AF258" i="6"/>
  <c r="AJ259" i="6"/>
  <c r="R259" i="6"/>
  <c r="X260" i="6"/>
  <c r="BD257" i="6"/>
  <c r="BH258" i="6"/>
  <c r="AC259" i="6"/>
  <c r="Y258" i="6"/>
  <c r="BJ259" i="6"/>
  <c r="BP260" i="6"/>
  <c r="K249" i="6"/>
  <c r="AO259" i="6" l="1"/>
  <c r="AQ260" i="6"/>
  <c r="AU260" i="6" s="1"/>
  <c r="BY260" i="6" s="1"/>
  <c r="K248" i="6"/>
  <c r="BP259" i="6"/>
  <c r="BJ258" i="6"/>
  <c r="BD256" i="6"/>
  <c r="BH257" i="6"/>
  <c r="R258" i="6"/>
  <c r="X259" i="6"/>
  <c r="AF257" i="6"/>
  <c r="AJ258" i="6"/>
  <c r="F251" i="6"/>
  <c r="J252" i="6"/>
  <c r="M257" i="6"/>
  <c r="Q258" i="6"/>
  <c r="BQ257" i="6"/>
  <c r="BW258" i="6"/>
  <c r="BC259" i="6"/>
  <c r="BI259" i="6" s="1"/>
  <c r="AW258" i="6"/>
  <c r="Y257" i="6"/>
  <c r="AC258" i="6"/>
  <c r="AO258" i="6" l="1"/>
  <c r="AQ259" i="6"/>
  <c r="AU259" i="6" s="1"/>
  <c r="BY259" i="6" s="1"/>
  <c r="AC257" i="6"/>
  <c r="Y256" i="6"/>
  <c r="BQ256" i="6"/>
  <c r="BW257" i="6"/>
  <c r="M256" i="6"/>
  <c r="Q257" i="6"/>
  <c r="F250" i="6"/>
  <c r="J251" i="6"/>
  <c r="AF256" i="6"/>
  <c r="AJ257" i="6"/>
  <c r="R257" i="6"/>
  <c r="X258" i="6"/>
  <c r="BD255" i="6"/>
  <c r="BH256" i="6"/>
  <c r="AW257" i="6"/>
  <c r="BC258" i="6"/>
  <c r="BI258" i="6" s="1"/>
  <c r="BJ257" i="6"/>
  <c r="BP258" i="6"/>
  <c r="K247" i="6"/>
  <c r="AO257" i="6" l="1"/>
  <c r="AQ258" i="6"/>
  <c r="AU258" i="6" s="1"/>
  <c r="BY258" i="6" s="1"/>
  <c r="K246" i="6"/>
  <c r="BJ256" i="6"/>
  <c r="BP257" i="6"/>
  <c r="AW256" i="6"/>
  <c r="BC257" i="6"/>
  <c r="BI257" i="6" s="1"/>
  <c r="BD254" i="6"/>
  <c r="BH255" i="6"/>
  <c r="R256" i="6"/>
  <c r="X257" i="6"/>
  <c r="AF255" i="6"/>
  <c r="AJ256" i="6"/>
  <c r="F249" i="6"/>
  <c r="J250" i="6"/>
  <c r="M255" i="6"/>
  <c r="Q256" i="6"/>
  <c r="BQ255" i="6"/>
  <c r="BW256" i="6"/>
  <c r="Y255" i="6"/>
  <c r="AC256" i="6"/>
  <c r="AO256" i="6" l="1"/>
  <c r="AQ257" i="6"/>
  <c r="AU257" i="6"/>
  <c r="BY257" i="6" s="1"/>
  <c r="AC255" i="6"/>
  <c r="Y254" i="6"/>
  <c r="BQ254" i="6"/>
  <c r="BW255" i="6"/>
  <c r="M254" i="6"/>
  <c r="Q255" i="6"/>
  <c r="F248" i="6"/>
  <c r="J249" i="6"/>
  <c r="AF254" i="6"/>
  <c r="AJ255" i="6"/>
  <c r="R255" i="6"/>
  <c r="X256" i="6"/>
  <c r="BD253" i="6"/>
  <c r="BH254" i="6"/>
  <c r="AW255" i="6"/>
  <c r="BC256" i="6"/>
  <c r="BI256" i="6" s="1"/>
  <c r="BJ255" i="6"/>
  <c r="BP256" i="6"/>
  <c r="K245" i="6"/>
  <c r="AO255" i="6" l="1"/>
  <c r="AQ256" i="6"/>
  <c r="AU256" i="6" s="1"/>
  <c r="BY256" i="6" s="1"/>
  <c r="BP255" i="6"/>
  <c r="BJ254" i="6"/>
  <c r="AW254" i="6"/>
  <c r="BC255" i="6"/>
  <c r="BI255" i="6" s="1"/>
  <c r="BD252" i="6"/>
  <c r="BH253" i="6"/>
  <c r="R254" i="6"/>
  <c r="X255" i="6"/>
  <c r="AF253" i="6"/>
  <c r="AJ254" i="6"/>
  <c r="F247" i="6"/>
  <c r="J248" i="6"/>
  <c r="M253" i="6"/>
  <c r="Q254" i="6"/>
  <c r="BQ253" i="6"/>
  <c r="BW254" i="6"/>
  <c r="K244" i="6"/>
  <c r="Y253" i="6"/>
  <c r="AC254" i="6"/>
  <c r="AO254" i="6" l="1"/>
  <c r="AQ255" i="6"/>
  <c r="AU255" i="6" s="1"/>
  <c r="BY255" i="6" s="1"/>
  <c r="AC253" i="6"/>
  <c r="Y252" i="6"/>
  <c r="K243" i="6"/>
  <c r="BQ252" i="6"/>
  <c r="BW253" i="6"/>
  <c r="M252" i="6"/>
  <c r="Q253" i="6"/>
  <c r="F246" i="6"/>
  <c r="J247" i="6"/>
  <c r="AF252" i="6"/>
  <c r="AJ253" i="6"/>
  <c r="R253" i="6"/>
  <c r="X254" i="6"/>
  <c r="BD251" i="6"/>
  <c r="BH252" i="6"/>
  <c r="AW253" i="6"/>
  <c r="BC254" i="6"/>
  <c r="BI254" i="6" s="1"/>
  <c r="BJ253" i="6"/>
  <c r="BP254" i="6"/>
  <c r="AO253" i="6" l="1"/>
  <c r="AQ254" i="6"/>
  <c r="AU254" i="6" s="1"/>
  <c r="BY254" i="6" s="1"/>
  <c r="BP253" i="6"/>
  <c r="BJ252" i="6"/>
  <c r="BC253" i="6"/>
  <c r="BI253" i="6" s="1"/>
  <c r="AW252" i="6"/>
  <c r="BD250" i="6"/>
  <c r="BH251" i="6"/>
  <c r="R252" i="6"/>
  <c r="X253" i="6"/>
  <c r="AF251" i="6"/>
  <c r="AJ252" i="6"/>
  <c r="F245" i="6"/>
  <c r="J246" i="6"/>
  <c r="M251" i="6"/>
  <c r="Q252" i="6"/>
  <c r="BQ251" i="6"/>
  <c r="BW252" i="6"/>
  <c r="K242" i="6"/>
  <c r="Y251" i="6"/>
  <c r="AC252" i="6"/>
  <c r="AO252" i="6" l="1"/>
  <c r="AQ253" i="6"/>
  <c r="AU253" i="6" s="1"/>
  <c r="BY253" i="6" s="1"/>
  <c r="K241" i="6"/>
  <c r="AC251" i="6"/>
  <c r="Y250" i="6"/>
  <c r="BQ250" i="6"/>
  <c r="BW251" i="6"/>
  <c r="M250" i="6"/>
  <c r="Q251" i="6"/>
  <c r="F244" i="6"/>
  <c r="J245" i="6"/>
  <c r="AF250" i="6"/>
  <c r="AJ251" i="6"/>
  <c r="R251" i="6"/>
  <c r="X252" i="6"/>
  <c r="BD249" i="6"/>
  <c r="BH250" i="6"/>
  <c r="AW251" i="6"/>
  <c r="BC252" i="6"/>
  <c r="BI252" i="6" s="1"/>
  <c r="BJ251" i="6"/>
  <c r="BP252" i="6"/>
  <c r="AO251" i="6" l="1"/>
  <c r="AQ252" i="6"/>
  <c r="AU252" i="6" s="1"/>
  <c r="BY252" i="6" s="1"/>
  <c r="Y249" i="6"/>
  <c r="AC250" i="6"/>
  <c r="BP251" i="6"/>
  <c r="BJ250" i="6"/>
  <c r="BC251" i="6"/>
  <c r="BI251" i="6" s="1"/>
  <c r="AW250" i="6"/>
  <c r="BD248" i="6"/>
  <c r="BH249" i="6"/>
  <c r="R250" i="6"/>
  <c r="X251" i="6"/>
  <c r="AF249" i="6"/>
  <c r="AJ250" i="6"/>
  <c r="F243" i="6"/>
  <c r="J244" i="6"/>
  <c r="M249" i="6"/>
  <c r="Q250" i="6"/>
  <c r="BQ249" i="6"/>
  <c r="BW250" i="6"/>
  <c r="K240" i="6"/>
  <c r="AO250" i="6" l="1"/>
  <c r="AQ251" i="6"/>
  <c r="AU251" i="6" s="1"/>
  <c r="BY251" i="6" s="1"/>
  <c r="K239" i="6"/>
  <c r="BQ248" i="6"/>
  <c r="BW249" i="6"/>
  <c r="M248" i="6"/>
  <c r="Q249" i="6"/>
  <c r="F242" i="6"/>
  <c r="J243" i="6"/>
  <c r="AF248" i="6"/>
  <c r="AJ249" i="6"/>
  <c r="R249" i="6"/>
  <c r="X250" i="6"/>
  <c r="BD247" i="6"/>
  <c r="BH248" i="6"/>
  <c r="AC249" i="6"/>
  <c r="Y248" i="6"/>
  <c r="AW249" i="6"/>
  <c r="BC250" i="6"/>
  <c r="BI250" i="6" s="1"/>
  <c r="BJ249" i="6"/>
  <c r="BP250" i="6"/>
  <c r="AO249" i="6" l="1"/>
  <c r="AQ250" i="6"/>
  <c r="AU250" i="6" s="1"/>
  <c r="BY250" i="6" s="1"/>
  <c r="BP249" i="6"/>
  <c r="BJ248" i="6"/>
  <c r="BC249" i="6"/>
  <c r="BI249" i="6" s="1"/>
  <c r="AW248" i="6"/>
  <c r="BD246" i="6"/>
  <c r="BH247" i="6"/>
  <c r="R248" i="6"/>
  <c r="X249" i="6"/>
  <c r="AF247" i="6"/>
  <c r="AJ248" i="6"/>
  <c r="F241" i="6"/>
  <c r="J242" i="6"/>
  <c r="M247" i="6"/>
  <c r="Q248" i="6"/>
  <c r="BQ247" i="6"/>
  <c r="BW248" i="6"/>
  <c r="K238" i="6"/>
  <c r="Y247" i="6"/>
  <c r="AC248" i="6"/>
  <c r="AO248" i="6" l="1"/>
  <c r="AQ249" i="6"/>
  <c r="AU249" i="6" s="1"/>
  <c r="BY249" i="6" s="1"/>
  <c r="AC247" i="6"/>
  <c r="Y246" i="6"/>
  <c r="K237" i="6"/>
  <c r="BQ246" i="6"/>
  <c r="BW247" i="6"/>
  <c r="M246" i="6"/>
  <c r="Q247" i="6"/>
  <c r="F240" i="6"/>
  <c r="J241" i="6"/>
  <c r="AF246" i="6"/>
  <c r="AJ247" i="6"/>
  <c r="R247" i="6"/>
  <c r="X248" i="6"/>
  <c r="BD244" i="6"/>
  <c r="BD245" i="6"/>
  <c r="BH246" i="6"/>
  <c r="AW247" i="6"/>
  <c r="BC248" i="6"/>
  <c r="BI248" i="6" s="1"/>
  <c r="BJ247" i="6"/>
  <c r="BP248" i="6"/>
  <c r="AO247" i="6" l="1"/>
  <c r="AQ248" i="6"/>
  <c r="AU248" i="6"/>
  <c r="BY248" i="6" s="1"/>
  <c r="BP247" i="6"/>
  <c r="BJ246" i="6"/>
  <c r="BC247" i="6"/>
  <c r="BI247" i="6" s="1"/>
  <c r="AW246" i="6"/>
  <c r="BD242" i="6"/>
  <c r="BH242" i="6" s="1"/>
  <c r="BH244" i="6"/>
  <c r="R246" i="6"/>
  <c r="X247" i="6"/>
  <c r="AF245" i="6"/>
  <c r="AJ246" i="6"/>
  <c r="F239" i="6"/>
  <c r="J240" i="6"/>
  <c r="M245" i="6"/>
  <c r="Q246" i="6"/>
  <c r="BQ245" i="6"/>
  <c r="BW246" i="6"/>
  <c r="K236" i="6"/>
  <c r="BD243" i="6"/>
  <c r="BH245" i="6"/>
  <c r="Y245" i="6"/>
  <c r="AC246" i="6"/>
  <c r="AO246" i="6" l="1"/>
  <c r="AQ247" i="6"/>
  <c r="AU247" i="6" s="1"/>
  <c r="BY247" i="6" s="1"/>
  <c r="BQ244" i="6"/>
  <c r="BW245" i="6"/>
  <c r="M244" i="6"/>
  <c r="Q245" i="6"/>
  <c r="F238" i="6"/>
  <c r="J239" i="6"/>
  <c r="AF244" i="6"/>
  <c r="AJ245" i="6"/>
  <c r="R245" i="6"/>
  <c r="X246" i="6"/>
  <c r="AC245" i="6"/>
  <c r="Y244" i="6"/>
  <c r="BH243" i="6"/>
  <c r="BD241" i="6"/>
  <c r="K235" i="6"/>
  <c r="AW245" i="6"/>
  <c r="BC246" i="6"/>
  <c r="BI246" i="6" s="1"/>
  <c r="BJ245" i="6"/>
  <c r="BP246" i="6"/>
  <c r="AO245" i="6" l="1"/>
  <c r="AQ246" i="6"/>
  <c r="AU246" i="6" s="1"/>
  <c r="BY246" i="6" s="1"/>
  <c r="BJ244" i="6"/>
  <c r="BP245" i="6"/>
  <c r="AW244" i="6"/>
  <c r="BC245" i="6"/>
  <c r="BI245" i="6" s="1"/>
  <c r="K234" i="6"/>
  <c r="BD240" i="6"/>
  <c r="BH241" i="6"/>
  <c r="Y243" i="6"/>
  <c r="AC244" i="6"/>
  <c r="R244" i="6"/>
  <c r="X245" i="6"/>
  <c r="AF243" i="6"/>
  <c r="AJ244" i="6"/>
  <c r="F237" i="6"/>
  <c r="J238" i="6"/>
  <c r="M243" i="6"/>
  <c r="Q244" i="6"/>
  <c r="BQ243" i="6"/>
  <c r="BW244" i="6"/>
  <c r="AO244" i="6" l="1"/>
  <c r="AQ245" i="6"/>
  <c r="AU245" i="6" s="1"/>
  <c r="BY245" i="6" s="1"/>
  <c r="BQ242" i="6"/>
  <c r="BW243" i="6"/>
  <c r="M242" i="6"/>
  <c r="Q243" i="6"/>
  <c r="F236" i="6"/>
  <c r="J237" i="6"/>
  <c r="AF242" i="6"/>
  <c r="AJ243" i="6"/>
  <c r="R243" i="6"/>
  <c r="X244" i="6"/>
  <c r="AC243" i="6"/>
  <c r="Y242" i="6"/>
  <c r="BD239" i="6"/>
  <c r="BH240" i="6"/>
  <c r="AW243" i="6"/>
  <c r="BC244" i="6"/>
  <c r="BI244" i="6" s="1"/>
  <c r="BJ243" i="6"/>
  <c r="BP244" i="6"/>
  <c r="K233" i="6"/>
  <c r="AO243" i="6" l="1"/>
  <c r="AQ244" i="6"/>
  <c r="AU244" i="6" s="1"/>
  <c r="BY244" i="6" s="1"/>
  <c r="K232" i="6"/>
  <c r="BJ242" i="6"/>
  <c r="BP243" i="6"/>
  <c r="AW242" i="6"/>
  <c r="BC243" i="6"/>
  <c r="BI243" i="6" s="1"/>
  <c r="BD238" i="6"/>
  <c r="BH239" i="6"/>
  <c r="R242" i="6"/>
  <c r="X243" i="6"/>
  <c r="AF241" i="6"/>
  <c r="AJ242" i="6"/>
  <c r="F235" i="6"/>
  <c r="J236" i="6"/>
  <c r="M241" i="6"/>
  <c r="Q242" i="6"/>
  <c r="BQ241" i="6"/>
  <c r="BW242" i="6"/>
  <c r="Y241" i="6"/>
  <c r="AC242" i="6"/>
  <c r="AO242" i="6" l="1"/>
  <c r="AQ243" i="6"/>
  <c r="AU243" i="6" s="1"/>
  <c r="BY243" i="6" s="1"/>
  <c r="BQ240" i="6"/>
  <c r="BW241" i="6"/>
  <c r="M240" i="6"/>
  <c r="Q241" i="6"/>
  <c r="F234" i="6"/>
  <c r="J235" i="6"/>
  <c r="AF240" i="6"/>
  <c r="AJ241" i="6"/>
  <c r="R241" i="6"/>
  <c r="X242" i="6"/>
  <c r="BH238" i="6"/>
  <c r="BD237" i="6"/>
  <c r="AW241" i="6"/>
  <c r="BC242" i="6"/>
  <c r="BI242" i="6" s="1"/>
  <c r="BJ241" i="6"/>
  <c r="BP242" i="6"/>
  <c r="AC241" i="6"/>
  <c r="Y240" i="6"/>
  <c r="K231" i="6"/>
  <c r="AO241" i="6" l="1"/>
  <c r="AQ242" i="6"/>
  <c r="AU242" i="6"/>
  <c r="K230" i="6"/>
  <c r="Y239" i="6"/>
  <c r="AC240" i="6"/>
  <c r="BP241" i="6"/>
  <c r="BJ240" i="6"/>
  <c r="BC241" i="6"/>
  <c r="BI241" i="6" s="1"/>
  <c r="AW240" i="6"/>
  <c r="R240" i="6"/>
  <c r="X241" i="6"/>
  <c r="AF239" i="6"/>
  <c r="AJ240" i="6"/>
  <c r="F233" i="6"/>
  <c r="J234" i="6"/>
  <c r="M239" i="6"/>
  <c r="Q240" i="6"/>
  <c r="BQ239" i="6"/>
  <c r="BW240" i="6"/>
  <c r="BD236" i="6"/>
  <c r="BH237" i="6"/>
  <c r="AO240" i="6" l="1"/>
  <c r="AQ241" i="6"/>
  <c r="AU241" i="6" s="1"/>
  <c r="AF238" i="6"/>
  <c r="AJ239" i="6"/>
  <c r="R239" i="6"/>
  <c r="X240" i="6"/>
  <c r="AC239" i="6"/>
  <c r="Y238" i="6"/>
  <c r="BH236" i="6"/>
  <c r="BD235" i="6"/>
  <c r="BQ238" i="6"/>
  <c r="BW239" i="6"/>
  <c r="M238" i="6"/>
  <c r="Q239" i="6"/>
  <c r="F232" i="6"/>
  <c r="J233" i="6"/>
  <c r="AW239" i="6"/>
  <c r="BC240" i="6"/>
  <c r="BI240" i="6" s="1"/>
  <c r="BJ239" i="6"/>
  <c r="BP240" i="6"/>
  <c r="K229" i="6"/>
  <c r="AU1" i="6" l="1"/>
  <c r="BY241" i="6"/>
  <c r="AU240" i="6"/>
  <c r="AO239" i="6"/>
  <c r="AQ240" i="6"/>
  <c r="BD234" i="6"/>
  <c r="BH235" i="6"/>
  <c r="Y237" i="6"/>
  <c r="AC238" i="6"/>
  <c r="K228" i="6"/>
  <c r="BP239" i="6"/>
  <c r="BJ238" i="6"/>
  <c r="BC239" i="6"/>
  <c r="BI239" i="6" s="1"/>
  <c r="AW238" i="6"/>
  <c r="F231" i="6"/>
  <c r="J232" i="6"/>
  <c r="M237" i="6"/>
  <c r="Q238" i="6"/>
  <c r="BQ237" i="6"/>
  <c r="BW238" i="6"/>
  <c r="R238" i="6"/>
  <c r="X239" i="6"/>
  <c r="AF237" i="6"/>
  <c r="AJ238" i="6"/>
  <c r="BY240" i="6"/>
  <c r="AO238" i="6" l="1"/>
  <c r="AQ239" i="6"/>
  <c r="AU239" i="6"/>
  <c r="BY239" i="6" s="1"/>
  <c r="AW237" i="6"/>
  <c r="BC238" i="6"/>
  <c r="BI238" i="6" s="1"/>
  <c r="BJ237" i="6"/>
  <c r="BP238" i="6"/>
  <c r="K227" i="6"/>
  <c r="AF236" i="6"/>
  <c r="AJ237" i="6"/>
  <c r="R237" i="6"/>
  <c r="X238" i="6"/>
  <c r="BQ236" i="6"/>
  <c r="BW237" i="6"/>
  <c r="M236" i="6"/>
  <c r="Q237" i="6"/>
  <c r="F230" i="6"/>
  <c r="J231" i="6"/>
  <c r="AC237" i="6"/>
  <c r="Y236" i="6"/>
  <c r="BD233" i="6"/>
  <c r="BH234" i="6"/>
  <c r="AO237" i="6" l="1"/>
  <c r="AQ238" i="6"/>
  <c r="AU238" i="6" s="1"/>
  <c r="BY238" i="6" s="1"/>
  <c r="BD232" i="6"/>
  <c r="BH233" i="6"/>
  <c r="F229" i="6"/>
  <c r="J230" i="6"/>
  <c r="M235" i="6"/>
  <c r="Q236" i="6"/>
  <c r="BQ235" i="6"/>
  <c r="BW236" i="6"/>
  <c r="R236" i="6"/>
  <c r="X237" i="6"/>
  <c r="AF235" i="6"/>
  <c r="AJ236" i="6"/>
  <c r="K226" i="6"/>
  <c r="BP237" i="6"/>
  <c r="BJ236" i="6"/>
  <c r="BC237" i="6"/>
  <c r="BI237" i="6" s="1"/>
  <c r="AW236" i="6"/>
  <c r="Y235" i="6"/>
  <c r="AC236" i="6"/>
  <c r="AO236" i="6" l="1"/>
  <c r="AQ237" i="6"/>
  <c r="AU237" i="6" s="1"/>
  <c r="BY237" i="6" s="1"/>
  <c r="AC235" i="6"/>
  <c r="Y234" i="6"/>
  <c r="AF234" i="6"/>
  <c r="AJ235" i="6"/>
  <c r="R235" i="6"/>
  <c r="X236" i="6"/>
  <c r="BQ234" i="6"/>
  <c r="BW235" i="6"/>
  <c r="M234" i="6"/>
  <c r="Q235" i="6"/>
  <c r="F228" i="6"/>
  <c r="J229" i="6"/>
  <c r="BD231" i="6"/>
  <c r="BH232" i="6"/>
  <c r="AW235" i="6"/>
  <c r="BC236" i="6"/>
  <c r="BI236" i="6" s="1"/>
  <c r="BJ235" i="6"/>
  <c r="BP236" i="6"/>
  <c r="K225" i="6"/>
  <c r="AO235" i="6" l="1"/>
  <c r="AQ236" i="6"/>
  <c r="AU236" i="6" s="1"/>
  <c r="BY236" i="6" s="1"/>
  <c r="K224" i="6"/>
  <c r="BP235" i="6"/>
  <c r="BJ234" i="6"/>
  <c r="BC235" i="6"/>
  <c r="BI235" i="6" s="1"/>
  <c r="AW234" i="6"/>
  <c r="BD230" i="6"/>
  <c r="BH231" i="6"/>
  <c r="F227" i="6"/>
  <c r="J228" i="6"/>
  <c r="M233" i="6"/>
  <c r="Q234" i="6"/>
  <c r="BQ233" i="6"/>
  <c r="BW234" i="6"/>
  <c r="R234" i="6"/>
  <c r="X235" i="6"/>
  <c r="AF233" i="6"/>
  <c r="AJ234" i="6"/>
  <c r="Y233" i="6"/>
  <c r="AC234" i="6"/>
  <c r="AO234" i="6" l="1"/>
  <c r="AQ235" i="6"/>
  <c r="AU235" i="6" s="1"/>
  <c r="BY235" i="6" s="1"/>
  <c r="AC233" i="6"/>
  <c r="Y232" i="6"/>
  <c r="AF232" i="6"/>
  <c r="AJ233" i="6"/>
  <c r="R233" i="6"/>
  <c r="X234" i="6"/>
  <c r="BQ232" i="6"/>
  <c r="BW233" i="6"/>
  <c r="M232" i="6"/>
  <c r="Q233" i="6"/>
  <c r="F226" i="6"/>
  <c r="J227" i="6"/>
  <c r="BD229" i="6"/>
  <c r="BH230" i="6"/>
  <c r="AW233" i="6"/>
  <c r="BC234" i="6"/>
  <c r="BI234" i="6" s="1"/>
  <c r="BJ233" i="6"/>
  <c r="BP234" i="6"/>
  <c r="K223" i="6"/>
  <c r="AO233" i="6" l="1"/>
  <c r="AQ234" i="6"/>
  <c r="AU234" i="6" s="1"/>
  <c r="BY234" i="6" s="1"/>
  <c r="BP233" i="6"/>
  <c r="BJ232" i="6"/>
  <c r="BD228" i="6"/>
  <c r="BH229" i="6"/>
  <c r="F225" i="6"/>
  <c r="J226" i="6"/>
  <c r="M231" i="6"/>
  <c r="Q232" i="6"/>
  <c r="BQ231" i="6"/>
  <c r="BW232" i="6"/>
  <c r="R232" i="6"/>
  <c r="X233" i="6"/>
  <c r="AF231" i="6"/>
  <c r="AJ232" i="6"/>
  <c r="K222" i="6"/>
  <c r="BC233" i="6"/>
  <c r="BI233" i="6" s="1"/>
  <c r="AW232" i="6"/>
  <c r="Y231" i="6"/>
  <c r="AC232" i="6"/>
  <c r="AO232" i="6" l="1"/>
  <c r="AQ233" i="6"/>
  <c r="AU233" i="6" s="1"/>
  <c r="BY233" i="6" s="1"/>
  <c r="AC231" i="6"/>
  <c r="Y230" i="6"/>
  <c r="AW231" i="6"/>
  <c r="BC232" i="6"/>
  <c r="BI232" i="6" s="1"/>
  <c r="K221" i="6"/>
  <c r="AF230" i="6"/>
  <c r="AJ231" i="6"/>
  <c r="R231" i="6"/>
  <c r="X232" i="6"/>
  <c r="BQ230" i="6"/>
  <c r="BW231" i="6"/>
  <c r="M230" i="6"/>
  <c r="Q231" i="6"/>
  <c r="F224" i="6"/>
  <c r="J225" i="6"/>
  <c r="BD227" i="6"/>
  <c r="BH228" i="6"/>
  <c r="BJ231" i="6"/>
  <c r="BP232" i="6"/>
  <c r="AO231" i="6" l="1"/>
  <c r="AQ232" i="6"/>
  <c r="AU232" i="6" s="1"/>
  <c r="BY232" i="6" s="1"/>
  <c r="BJ230" i="6"/>
  <c r="BP231" i="6"/>
  <c r="BD226" i="6"/>
  <c r="BH227" i="6"/>
  <c r="F223" i="6"/>
  <c r="J224" i="6"/>
  <c r="M229" i="6"/>
  <c r="Q230" i="6"/>
  <c r="BQ229" i="6"/>
  <c r="BW230" i="6"/>
  <c r="R230" i="6"/>
  <c r="X231" i="6"/>
  <c r="AF229" i="6"/>
  <c r="AJ230" i="6"/>
  <c r="K220" i="6"/>
  <c r="AW230" i="6"/>
  <c r="BC231" i="6"/>
  <c r="BI231" i="6" s="1"/>
  <c r="Y229" i="6"/>
  <c r="AC230" i="6"/>
  <c r="AO230" i="6" l="1"/>
  <c r="AQ231" i="6"/>
  <c r="AU231" i="6" s="1"/>
  <c r="BY231" i="6" s="1"/>
  <c r="AC229" i="6"/>
  <c r="Y228" i="6"/>
  <c r="AW229" i="6"/>
  <c r="BC230" i="6"/>
  <c r="BI230" i="6" s="1"/>
  <c r="AF228" i="6"/>
  <c r="AJ229" i="6"/>
  <c r="R229" i="6"/>
  <c r="X230" i="6"/>
  <c r="BQ228" i="6"/>
  <c r="BW229" i="6"/>
  <c r="M228" i="6"/>
  <c r="Q229" i="6"/>
  <c r="F222" i="6"/>
  <c r="J223" i="6"/>
  <c r="BD225" i="6"/>
  <c r="BH226" i="6"/>
  <c r="BJ229" i="6"/>
  <c r="BP230" i="6"/>
  <c r="K219" i="6"/>
  <c r="AO229" i="6" l="1"/>
  <c r="AQ230" i="6"/>
  <c r="AU230" i="6" s="1"/>
  <c r="BY230" i="6" s="1"/>
  <c r="K218" i="6"/>
  <c r="BP229" i="6"/>
  <c r="BJ228" i="6"/>
  <c r="BD224" i="6"/>
  <c r="BH225" i="6"/>
  <c r="F221" i="6"/>
  <c r="J222" i="6"/>
  <c r="M227" i="6"/>
  <c r="Q228" i="6"/>
  <c r="BQ227" i="6"/>
  <c r="BW228" i="6"/>
  <c r="R228" i="6"/>
  <c r="X229" i="6"/>
  <c r="AF227" i="6"/>
  <c r="AJ228" i="6"/>
  <c r="BC229" i="6"/>
  <c r="BI229" i="6" s="1"/>
  <c r="AW228" i="6"/>
  <c r="Y227" i="6"/>
  <c r="AC228" i="6"/>
  <c r="AO228" i="6" l="1"/>
  <c r="AQ229" i="6"/>
  <c r="AU229" i="6" s="1"/>
  <c r="BY229" i="6" s="1"/>
  <c r="AF226" i="6"/>
  <c r="AJ227" i="6"/>
  <c r="R227" i="6"/>
  <c r="X228" i="6"/>
  <c r="BQ226" i="6"/>
  <c r="BW227" i="6"/>
  <c r="M226" i="6"/>
  <c r="Q227" i="6"/>
  <c r="F220" i="6"/>
  <c r="J221" i="6"/>
  <c r="BD223" i="6"/>
  <c r="BH224" i="6"/>
  <c r="AC227" i="6"/>
  <c r="Y226" i="6"/>
  <c r="AW227" i="6"/>
  <c r="BC228" i="6"/>
  <c r="BI228" i="6" s="1"/>
  <c r="BJ227" i="6"/>
  <c r="BP228" i="6"/>
  <c r="K217" i="6"/>
  <c r="AO227" i="6" l="1"/>
  <c r="AQ228" i="6"/>
  <c r="AU228" i="6" s="1"/>
  <c r="BY228" i="6" s="1"/>
  <c r="Y225" i="6"/>
  <c r="AC226" i="6"/>
  <c r="K216" i="6"/>
  <c r="BP227" i="6"/>
  <c r="BJ226" i="6"/>
  <c r="BC227" i="6"/>
  <c r="BI227" i="6" s="1"/>
  <c r="AW226" i="6"/>
  <c r="BD222" i="6"/>
  <c r="BH223" i="6"/>
  <c r="F219" i="6"/>
  <c r="J220" i="6"/>
  <c r="M225" i="6"/>
  <c r="Q226" i="6"/>
  <c r="BQ225" i="6"/>
  <c r="BW226" i="6"/>
  <c r="R226" i="6"/>
  <c r="X227" i="6"/>
  <c r="AF225" i="6"/>
  <c r="AJ226" i="6"/>
  <c r="AO226" i="6" l="1"/>
  <c r="AQ227" i="6"/>
  <c r="AU227" i="6"/>
  <c r="BY227" i="6" s="1"/>
  <c r="AF224" i="6"/>
  <c r="AJ225" i="6"/>
  <c r="R225" i="6"/>
  <c r="X226" i="6"/>
  <c r="BQ224" i="6"/>
  <c r="BW225" i="6"/>
  <c r="M224" i="6"/>
  <c r="Q225" i="6"/>
  <c r="F218" i="6"/>
  <c r="J219" i="6"/>
  <c r="BD221" i="6"/>
  <c r="BH222" i="6"/>
  <c r="AC225" i="6"/>
  <c r="Y224" i="6"/>
  <c r="AW225" i="6"/>
  <c r="BC226" i="6"/>
  <c r="BI226" i="6" s="1"/>
  <c r="BJ225" i="6"/>
  <c r="BP226" i="6"/>
  <c r="K215" i="6"/>
  <c r="AO225" i="6" l="1"/>
  <c r="AQ226" i="6"/>
  <c r="AU226" i="6" s="1"/>
  <c r="BY226" i="6" s="1"/>
  <c r="Y223" i="6"/>
  <c r="AC224" i="6"/>
  <c r="K214" i="6"/>
  <c r="BJ224" i="6"/>
  <c r="BP225" i="6"/>
  <c r="AW224" i="6"/>
  <c r="BC225" i="6"/>
  <c r="BI225" i="6" s="1"/>
  <c r="BD220" i="6"/>
  <c r="BH221" i="6"/>
  <c r="F217" i="6"/>
  <c r="J218" i="6"/>
  <c r="M223" i="6"/>
  <c r="Q224" i="6"/>
  <c r="BQ223" i="6"/>
  <c r="BW224" i="6"/>
  <c r="R224" i="6"/>
  <c r="X225" i="6"/>
  <c r="AF223" i="6"/>
  <c r="AJ224" i="6"/>
  <c r="AO224" i="6" l="1"/>
  <c r="AQ225" i="6"/>
  <c r="AU225" i="6" s="1"/>
  <c r="BY225" i="6" s="1"/>
  <c r="AF222" i="6"/>
  <c r="AJ223" i="6"/>
  <c r="R223" i="6"/>
  <c r="X224" i="6"/>
  <c r="BQ222" i="6"/>
  <c r="BW223" i="6"/>
  <c r="M222" i="6"/>
  <c r="Q223" i="6"/>
  <c r="F216" i="6"/>
  <c r="J217" i="6"/>
  <c r="BD219" i="6"/>
  <c r="BH220" i="6"/>
  <c r="AW223" i="6"/>
  <c r="BC224" i="6"/>
  <c r="BI224" i="6" s="1"/>
  <c r="BJ223" i="6"/>
  <c r="BP224" i="6"/>
  <c r="AC223" i="6"/>
  <c r="Y222" i="6"/>
  <c r="K213" i="6"/>
  <c r="AO223" i="6" l="1"/>
  <c r="AQ224" i="6"/>
  <c r="AU224" i="6" s="1"/>
  <c r="BY224" i="6" s="1"/>
  <c r="K212" i="6"/>
  <c r="K211" i="6" s="1"/>
  <c r="K210" i="6" s="1"/>
  <c r="BP223" i="6"/>
  <c r="BJ222" i="6"/>
  <c r="BC223" i="6"/>
  <c r="BI223" i="6" s="1"/>
  <c r="AW222" i="6"/>
  <c r="BD218" i="6"/>
  <c r="BH219" i="6"/>
  <c r="F215" i="6"/>
  <c r="J216" i="6"/>
  <c r="M221" i="6"/>
  <c r="Q222" i="6"/>
  <c r="BQ221" i="6"/>
  <c r="BW222" i="6"/>
  <c r="R222" i="6"/>
  <c r="X223" i="6"/>
  <c r="AF221" i="6"/>
  <c r="AJ222" i="6"/>
  <c r="Y221" i="6"/>
  <c r="AC222" i="6"/>
  <c r="AO222" i="6" l="1"/>
  <c r="AQ223" i="6"/>
  <c r="AU223" i="6" s="1"/>
  <c r="BY223" i="6" s="1"/>
  <c r="AF220" i="6"/>
  <c r="AJ221" i="6"/>
  <c r="R221" i="6"/>
  <c r="X222" i="6"/>
  <c r="BQ220" i="6"/>
  <c r="BW221" i="6"/>
  <c r="M220" i="6"/>
  <c r="Q221" i="6"/>
  <c r="F214" i="6"/>
  <c r="J215" i="6"/>
  <c r="BD217" i="6"/>
  <c r="BH218" i="6"/>
  <c r="AC221" i="6"/>
  <c r="Y220" i="6"/>
  <c r="AW221" i="6"/>
  <c r="BC222" i="6"/>
  <c r="BI222" i="6" s="1"/>
  <c r="BJ221" i="6"/>
  <c r="BP222" i="6"/>
  <c r="K209" i="6"/>
  <c r="AO221" i="6" l="1"/>
  <c r="AQ222" i="6"/>
  <c r="AU222" i="6" s="1"/>
  <c r="BY222" i="6" s="1"/>
  <c r="Y219" i="6"/>
  <c r="AC220" i="6"/>
  <c r="K208" i="6"/>
  <c r="K207" i="6" s="1"/>
  <c r="BP221" i="6"/>
  <c r="BJ220" i="6"/>
  <c r="BC221" i="6"/>
  <c r="BI221" i="6" s="1"/>
  <c r="AW220" i="6"/>
  <c r="BD216" i="6"/>
  <c r="BH217" i="6"/>
  <c r="F213" i="6"/>
  <c r="J214" i="6"/>
  <c r="M219" i="6"/>
  <c r="Q220" i="6"/>
  <c r="BQ219" i="6"/>
  <c r="BW220" i="6"/>
  <c r="R220" i="6"/>
  <c r="X221" i="6"/>
  <c r="AF219" i="6"/>
  <c r="AJ220" i="6"/>
  <c r="AO220" i="6" l="1"/>
  <c r="AQ221" i="6"/>
  <c r="AU221" i="6" s="1"/>
  <c r="BY221" i="6" s="1"/>
  <c r="AF218" i="6"/>
  <c r="AJ219" i="6"/>
  <c r="R219" i="6"/>
  <c r="X220" i="6"/>
  <c r="BQ218" i="6"/>
  <c r="BW219" i="6"/>
  <c r="M218" i="6"/>
  <c r="Q219" i="6"/>
  <c r="F212" i="6"/>
  <c r="F211" i="6" s="1"/>
  <c r="F210" i="6" s="1"/>
  <c r="J213" i="6"/>
  <c r="J282" i="6" s="1"/>
  <c r="BD215" i="6"/>
  <c r="BH216" i="6"/>
  <c r="AC219" i="6"/>
  <c r="Y218" i="6"/>
  <c r="AW219" i="6"/>
  <c r="BC220" i="6"/>
  <c r="BI220" i="6" s="1"/>
  <c r="BJ219" i="6"/>
  <c r="BP220" i="6"/>
  <c r="K206" i="6"/>
  <c r="AO219" i="6" l="1"/>
  <c r="AQ220" i="6"/>
  <c r="AU220" i="6" s="1"/>
  <c r="BY220" i="6" s="1"/>
  <c r="BP219" i="6"/>
  <c r="BJ218" i="6"/>
  <c r="BC219" i="6"/>
  <c r="BI219" i="6" s="1"/>
  <c r="AW218" i="6"/>
  <c r="BD214" i="6"/>
  <c r="BH215" i="6"/>
  <c r="F209" i="6"/>
  <c r="J210" i="6"/>
  <c r="M217" i="6"/>
  <c r="Q218" i="6"/>
  <c r="BQ217" i="6"/>
  <c r="BW218" i="6"/>
  <c r="R218" i="6"/>
  <c r="X219" i="6"/>
  <c r="AF217" i="6"/>
  <c r="AJ218" i="6"/>
  <c r="K205" i="6"/>
  <c r="Y217" i="6"/>
  <c r="AC218" i="6"/>
  <c r="AO218" i="6" l="1"/>
  <c r="AQ219" i="6"/>
  <c r="AU219" i="6"/>
  <c r="BY219" i="6" s="1"/>
  <c r="AC217" i="6"/>
  <c r="Y216" i="6"/>
  <c r="K204" i="6"/>
  <c r="AF216" i="6"/>
  <c r="AJ217" i="6"/>
  <c r="R217" i="6"/>
  <c r="X218" i="6"/>
  <c r="BQ216" i="6"/>
  <c r="BW217" i="6"/>
  <c r="M216" i="6"/>
  <c r="Q217" i="6"/>
  <c r="F208" i="6"/>
  <c r="F207" i="6" s="1"/>
  <c r="J209" i="6"/>
  <c r="BH214" i="6"/>
  <c r="BD213" i="6"/>
  <c r="AW217" i="6"/>
  <c r="BC218" i="6"/>
  <c r="BI218" i="6" s="1"/>
  <c r="BJ217" i="6"/>
  <c r="BP218" i="6"/>
  <c r="AO217" i="6" l="1"/>
  <c r="AQ218" i="6"/>
  <c r="AU218" i="6" s="1"/>
  <c r="BY218" i="6" s="1"/>
  <c r="BD212" i="6"/>
  <c r="BD211" i="6" s="1"/>
  <c r="BD210" i="6" s="1"/>
  <c r="BH213" i="6"/>
  <c r="BJ216" i="6"/>
  <c r="BP217" i="6"/>
  <c r="AW216" i="6"/>
  <c r="BC217" i="6"/>
  <c r="BI217" i="6" s="1"/>
  <c r="F206" i="6"/>
  <c r="J207" i="6"/>
  <c r="M215" i="6"/>
  <c r="Q216" i="6"/>
  <c r="BQ215" i="6"/>
  <c r="BW216" i="6"/>
  <c r="R216" i="6"/>
  <c r="X217" i="6"/>
  <c r="AF215" i="6"/>
  <c r="AJ216" i="6"/>
  <c r="K203" i="6"/>
  <c r="K202" i="6" s="1"/>
  <c r="Y215" i="6"/>
  <c r="AC216" i="6"/>
  <c r="AO216" i="6" l="1"/>
  <c r="AQ217" i="6"/>
  <c r="AU217" i="6" s="1"/>
  <c r="BY217" i="6" s="1"/>
  <c r="AC215" i="6"/>
  <c r="Y214" i="6"/>
  <c r="K201" i="6"/>
  <c r="AF214" i="6"/>
  <c r="AJ215" i="6"/>
  <c r="R215" i="6"/>
  <c r="X216" i="6"/>
  <c r="BQ214" i="6"/>
  <c r="BW215" i="6"/>
  <c r="M214" i="6"/>
  <c r="Q215" i="6"/>
  <c r="F205" i="6"/>
  <c r="J206" i="6"/>
  <c r="J208" i="6" s="1"/>
  <c r="AW215" i="6"/>
  <c r="BC216" i="6"/>
  <c r="BI216" i="6" s="1"/>
  <c r="BJ215" i="6"/>
  <c r="BP216" i="6"/>
  <c r="BD209" i="6"/>
  <c r="BH210" i="6"/>
  <c r="BH282" i="6"/>
  <c r="AO215" i="6" l="1"/>
  <c r="AQ216" i="6"/>
  <c r="AU216" i="6" s="1"/>
  <c r="BY216" i="6" s="1"/>
  <c r="BD208" i="6"/>
  <c r="BD207" i="6" s="1"/>
  <c r="BH209" i="6"/>
  <c r="BP215" i="6"/>
  <c r="BJ214" i="6"/>
  <c r="BC215" i="6"/>
  <c r="BI215" i="6" s="1"/>
  <c r="AW214" i="6"/>
  <c r="J205" i="6"/>
  <c r="F204" i="6"/>
  <c r="M213" i="6"/>
  <c r="Q214" i="6"/>
  <c r="BW214" i="6"/>
  <c r="BQ213" i="6"/>
  <c r="R214" i="6"/>
  <c r="X215" i="6"/>
  <c r="AF213" i="6"/>
  <c r="AJ214" i="6"/>
  <c r="K200" i="6"/>
  <c r="K199" i="6" s="1"/>
  <c r="K198" i="6" s="1"/>
  <c r="Y213" i="6"/>
  <c r="AC214" i="6"/>
  <c r="AO214" i="6" l="1"/>
  <c r="AQ215" i="6"/>
  <c r="AU215" i="6" s="1"/>
  <c r="BY215" i="6" s="1"/>
  <c r="AC213" i="6"/>
  <c r="AC282" i="6" s="1"/>
  <c r="Y212" i="6"/>
  <c r="Y211" i="6" s="1"/>
  <c r="Y210" i="6" s="1"/>
  <c r="BQ212" i="6"/>
  <c r="BQ211" i="6" s="1"/>
  <c r="BQ210" i="6" s="1"/>
  <c r="BW213" i="6"/>
  <c r="BW282" i="6" s="1"/>
  <c r="F203" i="6"/>
  <c r="F202" i="6" s="1"/>
  <c r="J204" i="6"/>
  <c r="AW213" i="6"/>
  <c r="BC214" i="6"/>
  <c r="BI214" i="6" s="1"/>
  <c r="BJ213" i="6"/>
  <c r="BP214" i="6"/>
  <c r="K197" i="6"/>
  <c r="AF212" i="6"/>
  <c r="AF211" i="6" s="1"/>
  <c r="AF210" i="6" s="1"/>
  <c r="AJ213" i="6"/>
  <c r="R213" i="6"/>
  <c r="X214" i="6"/>
  <c r="M212" i="6"/>
  <c r="M211" i="6" s="1"/>
  <c r="M210" i="6" s="1"/>
  <c r="Q213" i="6"/>
  <c r="Q282" i="6" s="1"/>
  <c r="BD206" i="6"/>
  <c r="BH207" i="6"/>
  <c r="AO213" i="6" l="1"/>
  <c r="AQ214" i="6"/>
  <c r="AU214" i="6" s="1"/>
  <c r="BY214" i="6" s="1"/>
  <c r="BH206" i="6"/>
  <c r="BD205" i="6"/>
  <c r="M209" i="6"/>
  <c r="Q210" i="6"/>
  <c r="R212" i="6"/>
  <c r="R211" i="6" s="1"/>
  <c r="R210" i="6" s="1"/>
  <c r="X213" i="6"/>
  <c r="X282" i="6" s="1"/>
  <c r="AJ210" i="6"/>
  <c r="AF209" i="6"/>
  <c r="K196" i="6"/>
  <c r="Y209" i="6"/>
  <c r="AC210" i="6"/>
  <c r="BH208" i="6"/>
  <c r="AJ282" i="6"/>
  <c r="BJ212" i="6"/>
  <c r="BJ211" i="6" s="1"/>
  <c r="BJ210" i="6" s="1"/>
  <c r="BP213" i="6"/>
  <c r="BP282" i="6" s="1"/>
  <c r="BC213" i="6"/>
  <c r="AW212" i="6"/>
  <c r="AW211" i="6" s="1"/>
  <c r="AW210" i="6" s="1"/>
  <c r="F201" i="6"/>
  <c r="J202" i="6"/>
  <c r="BW210" i="6"/>
  <c r="BQ209" i="6"/>
  <c r="AO212" i="6" l="1"/>
  <c r="AO211" i="6" s="1"/>
  <c r="AO210" i="6" s="1"/>
  <c r="AQ213" i="6"/>
  <c r="AQ282" i="6" s="1"/>
  <c r="K195" i="6"/>
  <c r="AF208" i="6"/>
  <c r="AF207" i="6" s="1"/>
  <c r="AJ209" i="6"/>
  <c r="BD204" i="6"/>
  <c r="BH205" i="6"/>
  <c r="BQ208" i="6"/>
  <c r="BQ207" i="6" s="1"/>
  <c r="BW209" i="6"/>
  <c r="AW209" i="6"/>
  <c r="BC210" i="6"/>
  <c r="J201" i="6"/>
  <c r="J203" i="6" s="1"/>
  <c r="J211" i="6" s="1"/>
  <c r="F200" i="6"/>
  <c r="F199" i="6" s="1"/>
  <c r="F198" i="6" s="1"/>
  <c r="BC282" i="6"/>
  <c r="BI213" i="6"/>
  <c r="BI282" i="6" s="1"/>
  <c r="BJ209" i="6"/>
  <c r="BP210" i="6"/>
  <c r="AC209" i="6"/>
  <c r="Y208" i="6"/>
  <c r="Y207" i="6" s="1"/>
  <c r="R209" i="6"/>
  <c r="X210" i="6"/>
  <c r="M208" i="6"/>
  <c r="M207" i="6" s="1"/>
  <c r="Q209" i="6"/>
  <c r="AU213" i="6" l="1"/>
  <c r="AO209" i="6"/>
  <c r="AQ210" i="6"/>
  <c r="AC207" i="6"/>
  <c r="Y206" i="6"/>
  <c r="M206" i="6"/>
  <c r="Q207" i="6"/>
  <c r="R208" i="6"/>
  <c r="R207" i="6" s="1"/>
  <c r="X209" i="6"/>
  <c r="BP209" i="6"/>
  <c r="BJ208" i="6"/>
  <c r="BJ207" i="6" s="1"/>
  <c r="BC209" i="6"/>
  <c r="BI209" i="6" s="1"/>
  <c r="AW208" i="6"/>
  <c r="AW207" i="6" s="1"/>
  <c r="BQ206" i="6"/>
  <c r="BW207" i="6"/>
  <c r="BH204" i="6"/>
  <c r="BD203" i="6"/>
  <c r="BD202" i="6" s="1"/>
  <c r="AF206" i="6"/>
  <c r="AJ207" i="6"/>
  <c r="K194" i="6"/>
  <c r="F197" i="6"/>
  <c r="J198" i="6"/>
  <c r="BI210" i="6"/>
  <c r="AO208" i="6" l="1"/>
  <c r="AO207" i="6" s="1"/>
  <c r="AQ209" i="6"/>
  <c r="AU282" i="6"/>
  <c r="AV282" i="6" s="1"/>
  <c r="BY213" i="6"/>
  <c r="BY282" i="6" s="1"/>
  <c r="AU210" i="6"/>
  <c r="AV210" i="6" s="1"/>
  <c r="BD201" i="6"/>
  <c r="BH202" i="6"/>
  <c r="BC207" i="6"/>
  <c r="AW206" i="6"/>
  <c r="BJ206" i="6"/>
  <c r="BP207" i="6"/>
  <c r="J197" i="6"/>
  <c r="F196" i="6"/>
  <c r="K193" i="6"/>
  <c r="K192" i="6" s="1"/>
  <c r="AF205" i="6"/>
  <c r="AJ206" i="6"/>
  <c r="BQ205" i="6"/>
  <c r="BW206" i="6"/>
  <c r="AV212" i="6"/>
  <c r="AZ33" i="10" s="1"/>
  <c r="CB33" i="10" s="1"/>
  <c r="CD33" i="10" s="1"/>
  <c r="CE33" i="10" s="1"/>
  <c r="R206" i="6"/>
  <c r="X207" i="6"/>
  <c r="M205" i="6"/>
  <c r="Q206" i="6"/>
  <c r="Q208" i="6" s="1"/>
  <c r="BW208" i="6"/>
  <c r="AU209" i="6"/>
  <c r="Y205" i="6"/>
  <c r="AC206" i="6"/>
  <c r="AC208" i="6" s="1"/>
  <c r="AO206" i="6" l="1"/>
  <c r="AQ207" i="6"/>
  <c r="F195" i="6"/>
  <c r="J196" i="6"/>
  <c r="AW205" i="6"/>
  <c r="BC206" i="6"/>
  <c r="BI206" i="6" s="1"/>
  <c r="AJ208" i="6"/>
  <c r="Y204" i="6"/>
  <c r="AC205" i="6"/>
  <c r="AV209" i="6"/>
  <c r="M204" i="6"/>
  <c r="Q205" i="6"/>
  <c r="R205" i="6"/>
  <c r="X206" i="6"/>
  <c r="X208" i="6" s="1"/>
  <c r="CL33" i="10"/>
  <c r="CG33" i="10"/>
  <c r="BQ204" i="6"/>
  <c r="BW205" i="6"/>
  <c r="AF204" i="6"/>
  <c r="AJ205" i="6"/>
  <c r="K191" i="6"/>
  <c r="BJ205" i="6"/>
  <c r="BP206" i="6"/>
  <c r="BP208" i="6" s="1"/>
  <c r="BI207" i="6"/>
  <c r="BD200" i="6"/>
  <c r="BD199" i="6" s="1"/>
  <c r="BD198" i="6" s="1"/>
  <c r="BD197" i="6" s="1"/>
  <c r="BD196" i="6" s="1"/>
  <c r="BD195" i="6" s="1"/>
  <c r="BD194" i="6" s="1"/>
  <c r="BH201" i="6"/>
  <c r="AU207" i="6"/>
  <c r="AO205" i="6" l="1"/>
  <c r="AQ206" i="6"/>
  <c r="AQ208" i="6" s="1"/>
  <c r="BC208" i="6"/>
  <c r="BI208" i="6"/>
  <c r="BH203" i="6"/>
  <c r="BH211" i="6" s="1"/>
  <c r="BH194" i="6"/>
  <c r="BD193" i="6"/>
  <c r="BD192" i="6" s="1"/>
  <c r="BP205" i="6"/>
  <c r="BJ204" i="6"/>
  <c r="K190" i="6"/>
  <c r="K189" i="6" s="1"/>
  <c r="AF203" i="6"/>
  <c r="AF202" i="6" s="1"/>
  <c r="AJ204" i="6"/>
  <c r="BW204" i="6"/>
  <c r="BQ203" i="6"/>
  <c r="BQ202" i="6" s="1"/>
  <c r="X205" i="6"/>
  <c r="R204" i="6"/>
  <c r="M203" i="6"/>
  <c r="M202" i="6" s="1"/>
  <c r="Q204" i="6"/>
  <c r="Y203" i="6"/>
  <c r="Y202" i="6" s="1"/>
  <c r="AC204" i="6"/>
  <c r="AU206" i="6"/>
  <c r="AU208" i="6" s="1"/>
  <c r="AW204" i="6"/>
  <c r="BC205" i="6"/>
  <c r="BI205" i="6" s="1"/>
  <c r="J195" i="6"/>
  <c r="F194" i="6"/>
  <c r="AO204" i="6" l="1"/>
  <c r="AQ205" i="6"/>
  <c r="AU205" i="6" s="1"/>
  <c r="AV205" i="6" s="1"/>
  <c r="R203" i="6"/>
  <c r="R202" i="6" s="1"/>
  <c r="X204" i="6"/>
  <c r="BQ201" i="6"/>
  <c r="BW202" i="6"/>
  <c r="BJ203" i="6"/>
  <c r="BJ202" i="6" s="1"/>
  <c r="BP204" i="6"/>
  <c r="BH192" i="6"/>
  <c r="BD191" i="6"/>
  <c r="F193" i="6"/>
  <c r="F192" i="6" s="1"/>
  <c r="J194" i="6"/>
  <c r="AW203" i="6"/>
  <c r="AW202" i="6" s="1"/>
  <c r="BC204" i="6"/>
  <c r="BI204" i="6" s="1"/>
  <c r="Y201" i="6"/>
  <c r="AC202" i="6"/>
  <c r="M201" i="6"/>
  <c r="Q202" i="6"/>
  <c r="AJ202" i="6"/>
  <c r="AF201" i="6"/>
  <c r="K188" i="6"/>
  <c r="AO203" i="6" l="1"/>
  <c r="AO202" i="6" s="1"/>
  <c r="AQ204" i="6"/>
  <c r="AU204" i="6"/>
  <c r="AV204" i="6" s="1"/>
  <c r="AV211" i="6" s="1"/>
  <c r="M200" i="6"/>
  <c r="M199" i="6" s="1"/>
  <c r="M198" i="6" s="1"/>
  <c r="Q201" i="6"/>
  <c r="Q203" i="6" s="1"/>
  <c r="Q211" i="6" s="1"/>
  <c r="Y200" i="6"/>
  <c r="Y199" i="6" s="1"/>
  <c r="Y198" i="6" s="1"/>
  <c r="AC201" i="6"/>
  <c r="AC203" i="6" s="1"/>
  <c r="AC211" i="6" s="1"/>
  <c r="AW201" i="6"/>
  <c r="BC202" i="6"/>
  <c r="BI202" i="6" s="1"/>
  <c r="F191" i="6"/>
  <c r="J192" i="6"/>
  <c r="BD190" i="6"/>
  <c r="BD189" i="6" s="1"/>
  <c r="BH191" i="6"/>
  <c r="K187" i="6"/>
  <c r="K186" i="6" s="1"/>
  <c r="AF200" i="6"/>
  <c r="AF199" i="6" s="1"/>
  <c r="AF198" i="6" s="1"/>
  <c r="AJ201" i="6"/>
  <c r="BJ201" i="6"/>
  <c r="BP202" i="6"/>
  <c r="BQ200" i="6"/>
  <c r="BQ199" i="6" s="1"/>
  <c r="BQ198" i="6" s="1"/>
  <c r="BW201" i="6"/>
  <c r="BW203" i="6" s="1"/>
  <c r="BW211" i="6" s="1"/>
  <c r="R201" i="6"/>
  <c r="X202" i="6"/>
  <c r="AO201" i="6" l="1"/>
  <c r="AQ202" i="6"/>
  <c r="AU202" i="6" s="1"/>
  <c r="AJ203" i="6"/>
  <c r="AJ211" i="6" s="1"/>
  <c r="X201" i="6"/>
  <c r="X203" i="6" s="1"/>
  <c r="X211" i="6" s="1"/>
  <c r="R200" i="6"/>
  <c r="R199" i="6" s="1"/>
  <c r="R198" i="6" s="1"/>
  <c r="BQ197" i="6"/>
  <c r="BW198" i="6"/>
  <c r="BJ200" i="6"/>
  <c r="BJ199" i="6" s="1"/>
  <c r="BJ198" i="6" s="1"/>
  <c r="BP201" i="6"/>
  <c r="BP203" i="6" s="1"/>
  <c r="BP211" i="6" s="1"/>
  <c r="AJ198" i="6"/>
  <c r="AF197" i="6"/>
  <c r="K185" i="6"/>
  <c r="BD188" i="6"/>
  <c r="BH189" i="6"/>
  <c r="J191" i="6"/>
  <c r="J193" i="6" s="1"/>
  <c r="F190" i="6"/>
  <c r="F189" i="6" s="1"/>
  <c r="BC201" i="6"/>
  <c r="AW200" i="6"/>
  <c r="AW199" i="6" s="1"/>
  <c r="AW198" i="6" s="1"/>
  <c r="Y197" i="6"/>
  <c r="AC198" i="6"/>
  <c r="M197" i="6"/>
  <c r="Q198" i="6"/>
  <c r="BH193" i="6"/>
  <c r="AO200" i="6" l="1"/>
  <c r="AO199" i="6" s="1"/>
  <c r="AO198" i="6" s="1"/>
  <c r="AQ201" i="6"/>
  <c r="AQ203" i="6" s="1"/>
  <c r="AQ211" i="6" s="1"/>
  <c r="AW197" i="6"/>
  <c r="BC198" i="6"/>
  <c r="F188" i="6"/>
  <c r="J189" i="6"/>
  <c r="AF196" i="6"/>
  <c r="AJ197" i="6"/>
  <c r="R197" i="6"/>
  <c r="X198" i="6"/>
  <c r="AU198" i="6" s="1"/>
  <c r="M196" i="6"/>
  <c r="Q197" i="6"/>
  <c r="AC197" i="6"/>
  <c r="Y196" i="6"/>
  <c r="BC203" i="6"/>
  <c r="BC211" i="6" s="1"/>
  <c r="BI201" i="6"/>
  <c r="BI203" i="6" s="1"/>
  <c r="BI211" i="6" s="1"/>
  <c r="BH188" i="6"/>
  <c r="BD187" i="6"/>
  <c r="BD186" i="6" s="1"/>
  <c r="K184" i="6"/>
  <c r="BJ197" i="6"/>
  <c r="BP198" i="6"/>
  <c r="BQ196" i="6"/>
  <c r="BW197" i="6"/>
  <c r="AU201" i="6"/>
  <c r="AU203" i="6" s="1"/>
  <c r="AU211" i="6" s="1"/>
  <c r="AO197" i="6" l="1"/>
  <c r="AQ198" i="6"/>
  <c r="BH186" i="6"/>
  <c r="BD185" i="6"/>
  <c r="BQ195" i="6"/>
  <c r="BW196" i="6"/>
  <c r="BP197" i="6"/>
  <c r="BJ196" i="6"/>
  <c r="K183" i="6"/>
  <c r="K182" i="6" s="1"/>
  <c r="K181" i="6" s="1"/>
  <c r="K180" i="6" s="1"/>
  <c r="BH190" i="6"/>
  <c r="M195" i="6"/>
  <c r="Q196" i="6"/>
  <c r="R196" i="6"/>
  <c r="X197" i="6"/>
  <c r="AU197" i="6" s="1"/>
  <c r="AF195" i="6"/>
  <c r="AJ196" i="6"/>
  <c r="F187" i="6"/>
  <c r="F186" i="6" s="1"/>
  <c r="J188" i="6"/>
  <c r="J190" i="6" s="1"/>
  <c r="AW196" i="6"/>
  <c r="BC197" i="6"/>
  <c r="AV200" i="6"/>
  <c r="AZ32" i="10" s="1"/>
  <c r="CB32" i="10" s="1"/>
  <c r="CD32" i="10" s="1"/>
  <c r="CE32" i="10" s="1"/>
  <c r="Y195" i="6"/>
  <c r="AC196" i="6"/>
  <c r="AO196" i="6" l="1"/>
  <c r="AQ197" i="6"/>
  <c r="AC195" i="6"/>
  <c r="Y194" i="6"/>
  <c r="AW195" i="6"/>
  <c r="BC196" i="6"/>
  <c r="F185" i="6"/>
  <c r="J186" i="6"/>
  <c r="AF194" i="6"/>
  <c r="AJ195" i="6"/>
  <c r="R195" i="6"/>
  <c r="X196" i="6"/>
  <c r="M194" i="6"/>
  <c r="Q195" i="6"/>
  <c r="K179" i="6"/>
  <c r="BQ194" i="6"/>
  <c r="BW195" i="6"/>
  <c r="CL32" i="10"/>
  <c r="CG32" i="10"/>
  <c r="BJ195" i="6"/>
  <c r="BP196" i="6"/>
  <c r="BD184" i="6"/>
  <c r="BH185" i="6"/>
  <c r="AU196" i="6"/>
  <c r="AO195" i="6" l="1"/>
  <c r="AQ196" i="6"/>
  <c r="BD183" i="6"/>
  <c r="BD182" i="6" s="1"/>
  <c r="BD181" i="6" s="1"/>
  <c r="BD180" i="6" s="1"/>
  <c r="BH184" i="6"/>
  <c r="BQ193" i="6"/>
  <c r="BQ192" i="6" s="1"/>
  <c r="BW194" i="6"/>
  <c r="K178" i="6"/>
  <c r="M193" i="6"/>
  <c r="M192" i="6" s="1"/>
  <c r="Q194" i="6"/>
  <c r="R194" i="6"/>
  <c r="X195" i="6"/>
  <c r="AJ194" i="6"/>
  <c r="AF193" i="6"/>
  <c r="AF192" i="6" s="1"/>
  <c r="J185" i="6"/>
  <c r="F184" i="6"/>
  <c r="AW194" i="6"/>
  <c r="BC195" i="6"/>
  <c r="BP195" i="6"/>
  <c r="BJ194" i="6"/>
  <c r="Y193" i="6"/>
  <c r="Y192" i="6" s="1"/>
  <c r="AC194" i="6"/>
  <c r="AU195" i="6"/>
  <c r="AO194" i="6" l="1"/>
  <c r="AQ195" i="6"/>
  <c r="Y191" i="6"/>
  <c r="AC192" i="6"/>
  <c r="F183" i="6"/>
  <c r="F182" i="6" s="1"/>
  <c r="F181" i="6" s="1"/>
  <c r="F180" i="6" s="1"/>
  <c r="J184" i="6"/>
  <c r="J187" i="6" s="1"/>
  <c r="J199" i="6" s="1"/>
  <c r="BJ193" i="6"/>
  <c r="BJ192" i="6" s="1"/>
  <c r="BP194" i="6"/>
  <c r="AW193" i="6"/>
  <c r="AW192" i="6" s="1"/>
  <c r="BC194" i="6"/>
  <c r="R193" i="6"/>
  <c r="R192" i="6" s="1"/>
  <c r="X194" i="6"/>
  <c r="M191" i="6"/>
  <c r="Q192" i="6"/>
  <c r="BQ191" i="6"/>
  <c r="BW192" i="6"/>
  <c r="BH180" i="6"/>
  <c r="BD179" i="6"/>
  <c r="AJ192" i="6"/>
  <c r="AF191" i="6"/>
  <c r="K177" i="6"/>
  <c r="K176" i="6" s="1"/>
  <c r="K175" i="6" s="1"/>
  <c r="K174" i="6" s="1"/>
  <c r="BH187" i="6"/>
  <c r="BH199" i="6" s="1"/>
  <c r="AO193" i="6" l="1"/>
  <c r="AO192" i="6" s="1"/>
  <c r="AQ194" i="6"/>
  <c r="AU194" i="6" s="1"/>
  <c r="AF190" i="6"/>
  <c r="AF189" i="6" s="1"/>
  <c r="AJ191" i="6"/>
  <c r="BQ190" i="6"/>
  <c r="BQ189" i="6" s="1"/>
  <c r="BW191" i="6"/>
  <c r="BW193" i="6" s="1"/>
  <c r="M190" i="6"/>
  <c r="M189" i="6" s="1"/>
  <c r="Q191" i="6"/>
  <c r="Q193" i="6" s="1"/>
  <c r="R191" i="6"/>
  <c r="X192" i="6"/>
  <c r="AW191" i="6"/>
  <c r="BC192" i="6"/>
  <c r="BI192" i="6" s="1"/>
  <c r="BJ191" i="6"/>
  <c r="BP192" i="6"/>
  <c r="F179" i="6"/>
  <c r="J180" i="6"/>
  <c r="Y190" i="6"/>
  <c r="Y189" i="6" s="1"/>
  <c r="AC191" i="6"/>
  <c r="AC193" i="6" s="1"/>
  <c r="K173" i="6"/>
  <c r="BD178" i="6"/>
  <c r="BH179" i="6"/>
  <c r="BI194" i="6"/>
  <c r="AO191" i="6" l="1"/>
  <c r="AQ192" i="6"/>
  <c r="AU192" i="6" s="1"/>
  <c r="AJ193" i="6"/>
  <c r="BH178" i="6"/>
  <c r="BD177" i="6"/>
  <c r="K172" i="6"/>
  <c r="AC189" i="6"/>
  <c r="Y188" i="6"/>
  <c r="F178" i="6"/>
  <c r="J179" i="6"/>
  <c r="BP191" i="6"/>
  <c r="BP193" i="6" s="1"/>
  <c r="BJ190" i="6"/>
  <c r="BJ189" i="6" s="1"/>
  <c r="AW190" i="6"/>
  <c r="AW189" i="6" s="1"/>
  <c r="BC191" i="6"/>
  <c r="X191" i="6"/>
  <c r="X193" i="6" s="1"/>
  <c r="R190" i="6"/>
  <c r="R189" i="6" s="1"/>
  <c r="M188" i="6"/>
  <c r="Q189" i="6"/>
  <c r="BQ188" i="6"/>
  <c r="BW189" i="6"/>
  <c r="AF188" i="6"/>
  <c r="AJ189" i="6"/>
  <c r="AO190" i="6" l="1"/>
  <c r="AO189" i="6" s="1"/>
  <c r="AQ191" i="6"/>
  <c r="AQ193" i="6" s="1"/>
  <c r="AU191" i="6"/>
  <c r="AU193" i="6" s="1"/>
  <c r="R188" i="6"/>
  <c r="X189" i="6"/>
  <c r="BC193" i="6"/>
  <c r="BI191" i="6"/>
  <c r="BI193" i="6" s="1"/>
  <c r="BP189" i="6"/>
  <c r="BJ188" i="6"/>
  <c r="Y187" i="6"/>
  <c r="Y186" i="6" s="1"/>
  <c r="AC188" i="6"/>
  <c r="AC190" i="6" s="1"/>
  <c r="BD176" i="6"/>
  <c r="BD175" i="6" s="1"/>
  <c r="BD174" i="6" s="1"/>
  <c r="BH177" i="6"/>
  <c r="BI177" i="6" s="1"/>
  <c r="AF187" i="6"/>
  <c r="AF186" i="6" s="1"/>
  <c r="AJ188" i="6"/>
  <c r="BQ187" i="6"/>
  <c r="BQ186" i="6" s="1"/>
  <c r="BW188" i="6"/>
  <c r="BW190" i="6" s="1"/>
  <c r="M187" i="6"/>
  <c r="M186" i="6" s="1"/>
  <c r="Q188" i="6"/>
  <c r="Q190" i="6" s="1"/>
  <c r="BC189" i="6"/>
  <c r="BI189" i="6" s="1"/>
  <c r="AW188" i="6"/>
  <c r="F177" i="6"/>
  <c r="F176" i="6" s="1"/>
  <c r="F175" i="6" s="1"/>
  <c r="F174" i="6" s="1"/>
  <c r="J178" i="6"/>
  <c r="J181" i="6" s="1"/>
  <c r="J182" i="6" s="1"/>
  <c r="K171" i="6"/>
  <c r="K170" i="6" s="1"/>
  <c r="K169" i="6" s="1"/>
  <c r="K168" i="6" s="1"/>
  <c r="BH181" i="6"/>
  <c r="BH182" i="6" s="1"/>
  <c r="AO188" i="6" l="1"/>
  <c r="AQ189" i="6"/>
  <c r="AU189" i="6" s="1"/>
  <c r="AW187" i="6"/>
  <c r="AW186" i="6" s="1"/>
  <c r="BC188" i="6"/>
  <c r="K167" i="6"/>
  <c r="F173" i="6"/>
  <c r="J174" i="6"/>
  <c r="M185" i="6"/>
  <c r="Q186" i="6"/>
  <c r="BQ185" i="6"/>
  <c r="BW186" i="6"/>
  <c r="AJ186" i="6"/>
  <c r="AF185" i="6"/>
  <c r="BD173" i="6"/>
  <c r="BH174" i="6"/>
  <c r="Y185" i="6"/>
  <c r="AC186" i="6"/>
  <c r="R187" i="6"/>
  <c r="R186" i="6" s="1"/>
  <c r="X188" i="6"/>
  <c r="X190" i="6" s="1"/>
  <c r="AJ190" i="6"/>
  <c r="BJ187" i="6"/>
  <c r="BJ186" i="6" s="1"/>
  <c r="BP188" i="6"/>
  <c r="BP190" i="6" s="1"/>
  <c r="AO187" i="6" l="1"/>
  <c r="AO186" i="6" s="1"/>
  <c r="AQ188" i="6"/>
  <c r="AQ190" i="6" s="1"/>
  <c r="AU188" i="6"/>
  <c r="AU190" i="6" s="1"/>
  <c r="BJ185" i="6"/>
  <c r="BP186" i="6"/>
  <c r="R185" i="6"/>
  <c r="X186" i="6"/>
  <c r="Y184" i="6"/>
  <c r="AC185" i="6"/>
  <c r="BD172" i="6"/>
  <c r="BH173" i="6"/>
  <c r="BQ184" i="6"/>
  <c r="BW185" i="6"/>
  <c r="M184" i="6"/>
  <c r="Q185" i="6"/>
  <c r="J173" i="6"/>
  <c r="F172" i="6"/>
  <c r="K166" i="6"/>
  <c r="K165" i="6" s="1"/>
  <c r="K164" i="6" s="1"/>
  <c r="AW185" i="6"/>
  <c r="BC186" i="6"/>
  <c r="BI186" i="6" s="1"/>
  <c r="AF184" i="6"/>
  <c r="AJ185" i="6"/>
  <c r="BC190" i="6"/>
  <c r="BI188" i="6"/>
  <c r="BI190" i="6" s="1"/>
  <c r="AO185" i="6" l="1"/>
  <c r="AQ186" i="6"/>
  <c r="AU186" i="6" s="1"/>
  <c r="AF183" i="6"/>
  <c r="AF182" i="6" s="1"/>
  <c r="AF181" i="6" s="1"/>
  <c r="AF180" i="6" s="1"/>
  <c r="AJ184" i="6"/>
  <c r="BC185" i="6"/>
  <c r="BI185" i="6" s="1"/>
  <c r="AW184" i="6"/>
  <c r="K162" i="6"/>
  <c r="K163" i="6"/>
  <c r="M183" i="6"/>
  <c r="M182" i="6" s="1"/>
  <c r="M181" i="6" s="1"/>
  <c r="M180" i="6" s="1"/>
  <c r="Q184" i="6"/>
  <c r="Q187" i="6" s="1"/>
  <c r="Q199" i="6" s="1"/>
  <c r="BQ183" i="6"/>
  <c r="BQ182" i="6" s="1"/>
  <c r="BQ181" i="6" s="1"/>
  <c r="BQ180" i="6" s="1"/>
  <c r="BW184" i="6"/>
  <c r="BW187" i="6" s="1"/>
  <c r="BW199" i="6" s="1"/>
  <c r="BD171" i="6"/>
  <c r="BD170" i="6" s="1"/>
  <c r="BD169" i="6" s="1"/>
  <c r="BD168" i="6" s="1"/>
  <c r="BH172" i="6"/>
  <c r="Y183" i="6"/>
  <c r="Y182" i="6" s="1"/>
  <c r="Y181" i="6" s="1"/>
  <c r="Y180" i="6" s="1"/>
  <c r="AC184" i="6"/>
  <c r="AC187" i="6" s="1"/>
  <c r="AC199" i="6" s="1"/>
  <c r="X185" i="6"/>
  <c r="R184" i="6"/>
  <c r="BJ184" i="6"/>
  <c r="BP185" i="6"/>
  <c r="F171" i="6"/>
  <c r="F170" i="6" s="1"/>
  <c r="F169" i="6" s="1"/>
  <c r="F168" i="6" s="1"/>
  <c r="J172" i="6"/>
  <c r="J175" i="6" s="1"/>
  <c r="J176" i="6" s="1"/>
  <c r="AO184" i="6" l="1"/>
  <c r="AQ185" i="6"/>
  <c r="AU185" i="6" s="1"/>
  <c r="F167" i="6"/>
  <c r="J168" i="6"/>
  <c r="BH175" i="6"/>
  <c r="BH176" i="6" s="1"/>
  <c r="BJ183" i="6"/>
  <c r="BJ182" i="6" s="1"/>
  <c r="BJ181" i="6" s="1"/>
  <c r="BJ180" i="6" s="1"/>
  <c r="BP184" i="6"/>
  <c r="BP187" i="6" s="1"/>
  <c r="BP199" i="6" s="1"/>
  <c r="Y179" i="6"/>
  <c r="AC180" i="6"/>
  <c r="BH168" i="6"/>
  <c r="BD167" i="6"/>
  <c r="BQ179" i="6"/>
  <c r="BW180" i="6"/>
  <c r="M179" i="6"/>
  <c r="Q180" i="6"/>
  <c r="K161" i="6"/>
  <c r="AF179" i="6"/>
  <c r="AJ180" i="6"/>
  <c r="R183" i="6"/>
  <c r="R182" i="6" s="1"/>
  <c r="R181" i="6" s="1"/>
  <c r="R180" i="6" s="1"/>
  <c r="X184" i="6"/>
  <c r="X187" i="6" s="1"/>
  <c r="X199" i="6" s="1"/>
  <c r="AW183" i="6"/>
  <c r="AW182" i="6" s="1"/>
  <c r="AW181" i="6" s="1"/>
  <c r="AW180" i="6" s="1"/>
  <c r="BC184" i="6"/>
  <c r="AJ187" i="6"/>
  <c r="AJ199" i="6" s="1"/>
  <c r="AO183" i="6" l="1"/>
  <c r="AO182" i="6" s="1"/>
  <c r="AO181" i="6" s="1"/>
  <c r="AO180" i="6" s="1"/>
  <c r="AQ184" i="6"/>
  <c r="AW179" i="6"/>
  <c r="BC180" i="6"/>
  <c r="BI180" i="6" s="1"/>
  <c r="R179" i="6"/>
  <c r="X180" i="6"/>
  <c r="K160" i="6"/>
  <c r="K159" i="6" s="1"/>
  <c r="K158" i="6" s="1"/>
  <c r="BC187" i="6"/>
  <c r="BC199" i="6" s="1"/>
  <c r="BI184" i="6"/>
  <c r="BI187" i="6" s="1"/>
  <c r="BI199" i="6" s="1"/>
  <c r="AF178" i="6"/>
  <c r="AJ179" i="6"/>
  <c r="M178" i="6"/>
  <c r="Q179" i="6"/>
  <c r="BQ178" i="6"/>
  <c r="BW179" i="6"/>
  <c r="AC179" i="6"/>
  <c r="Y178" i="6"/>
  <c r="BJ179" i="6"/>
  <c r="BP180" i="6"/>
  <c r="J167" i="6"/>
  <c r="J169" i="6" s="1"/>
  <c r="J170" i="6" s="1"/>
  <c r="F166" i="6"/>
  <c r="F165" i="6" s="1"/>
  <c r="F164" i="6" s="1"/>
  <c r="F163" i="6" s="1"/>
  <c r="BD166" i="6"/>
  <c r="BD165" i="6" s="1"/>
  <c r="BD164" i="6" s="1"/>
  <c r="BH167" i="6"/>
  <c r="BH169" i="6" s="1"/>
  <c r="BH170" i="6" s="1"/>
  <c r="AV199" i="6"/>
  <c r="AQ187" i="6" l="1"/>
  <c r="AQ199" i="6" s="1"/>
  <c r="AU184" i="6"/>
  <c r="AU187" i="6" s="1"/>
  <c r="AU199" i="6" s="1"/>
  <c r="AO179" i="6"/>
  <c r="AQ180" i="6"/>
  <c r="AU180" i="6" s="1"/>
  <c r="Y177" i="6"/>
  <c r="Y176" i="6" s="1"/>
  <c r="Y175" i="6" s="1"/>
  <c r="Y174" i="6" s="1"/>
  <c r="AC178" i="6"/>
  <c r="AC181" i="6" s="1"/>
  <c r="AC182" i="6" s="1"/>
  <c r="AV183" i="6"/>
  <c r="AZ31" i="10" s="1"/>
  <c r="CB31" i="10" s="1"/>
  <c r="CD31" i="10" s="1"/>
  <c r="CE31" i="10" s="1"/>
  <c r="BD163" i="6"/>
  <c r="BH163" i="6" s="1"/>
  <c r="BD162" i="6"/>
  <c r="BJ178" i="6"/>
  <c r="BP179" i="6"/>
  <c r="BQ177" i="6"/>
  <c r="BQ176" i="6" s="1"/>
  <c r="BQ175" i="6" s="1"/>
  <c r="BQ174" i="6" s="1"/>
  <c r="BW178" i="6"/>
  <c r="BW181" i="6" s="1"/>
  <c r="BW182" i="6" s="1"/>
  <c r="M177" i="6"/>
  <c r="M176" i="6" s="1"/>
  <c r="M175" i="6" s="1"/>
  <c r="M174" i="6" s="1"/>
  <c r="Q178" i="6"/>
  <c r="Q181" i="6" s="1"/>
  <c r="Q182" i="6" s="1"/>
  <c r="AF177" i="6"/>
  <c r="AF176" i="6" s="1"/>
  <c r="AF175" i="6" s="1"/>
  <c r="AF174" i="6" s="1"/>
  <c r="AJ178" i="6"/>
  <c r="K157" i="6"/>
  <c r="R178" i="6"/>
  <c r="X179" i="6"/>
  <c r="BC179" i="6"/>
  <c r="BI179" i="6" s="1"/>
  <c r="AW178" i="6"/>
  <c r="F162" i="6"/>
  <c r="J163" i="6"/>
  <c r="AO178" i="6" l="1"/>
  <c r="AQ179" i="6"/>
  <c r="AU179" i="6" s="1"/>
  <c r="AW177" i="6"/>
  <c r="AW176" i="6" s="1"/>
  <c r="AW175" i="6" s="1"/>
  <c r="AW174" i="6" s="1"/>
  <c r="BC178" i="6"/>
  <c r="K156" i="6"/>
  <c r="K155" i="6" s="1"/>
  <c r="K154" i="6" s="1"/>
  <c r="K153" i="6" s="1"/>
  <c r="AJ181" i="6"/>
  <c r="AJ182" i="6" s="1"/>
  <c r="BD161" i="6"/>
  <c r="BH162" i="6"/>
  <c r="F161" i="6"/>
  <c r="J162" i="6"/>
  <c r="R177" i="6"/>
  <c r="R176" i="6" s="1"/>
  <c r="R175" i="6" s="1"/>
  <c r="R174" i="6" s="1"/>
  <c r="X178" i="6"/>
  <c r="X181" i="6" s="1"/>
  <c r="X182" i="6" s="1"/>
  <c r="AF173" i="6"/>
  <c r="AJ174" i="6"/>
  <c r="M173" i="6"/>
  <c r="Q174" i="6"/>
  <c r="BQ173" i="6"/>
  <c r="BW174" i="6"/>
  <c r="BJ177" i="6"/>
  <c r="BJ176" i="6" s="1"/>
  <c r="BJ175" i="6" s="1"/>
  <c r="BJ174" i="6" s="1"/>
  <c r="BP178" i="6"/>
  <c r="BP181" i="6" s="1"/>
  <c r="BP182" i="6" s="1"/>
  <c r="CL31" i="10"/>
  <c r="CG31" i="10"/>
  <c r="Y173" i="6"/>
  <c r="AC174" i="6"/>
  <c r="AO177" i="6" l="1"/>
  <c r="AO176" i="6" s="1"/>
  <c r="AO175" i="6" s="1"/>
  <c r="AO174" i="6" s="1"/>
  <c r="AQ178" i="6"/>
  <c r="AQ181" i="6" s="1"/>
  <c r="AQ182" i="6" s="1"/>
  <c r="BD160" i="6"/>
  <c r="BD159" i="6" s="1"/>
  <c r="BD158" i="6" s="1"/>
  <c r="BH161" i="6"/>
  <c r="K152" i="6"/>
  <c r="AW173" i="6"/>
  <c r="BC174" i="6"/>
  <c r="BI174" i="6" s="1"/>
  <c r="AU178" i="6"/>
  <c r="AU181" i="6" s="1"/>
  <c r="AU182" i="6" s="1"/>
  <c r="Y172" i="6"/>
  <c r="AC173" i="6"/>
  <c r="BJ173" i="6"/>
  <c r="BP174" i="6"/>
  <c r="BQ172" i="6"/>
  <c r="BW173" i="6"/>
  <c r="M172" i="6"/>
  <c r="Q173" i="6"/>
  <c r="AF172" i="6"/>
  <c r="AJ173" i="6"/>
  <c r="R173" i="6"/>
  <c r="X174" i="6"/>
  <c r="F160" i="6"/>
  <c r="F159" i="6" s="1"/>
  <c r="F158" i="6" s="1"/>
  <c r="J161" i="6"/>
  <c r="J164" i="6" s="1"/>
  <c r="J165" i="6" s="1"/>
  <c r="BH164" i="6"/>
  <c r="BH165" i="6" s="1"/>
  <c r="BC181" i="6"/>
  <c r="BC182" i="6" s="1"/>
  <c r="BI178" i="6"/>
  <c r="BI181" i="6" s="1"/>
  <c r="BI182" i="6" s="1"/>
  <c r="AO173" i="6" l="1"/>
  <c r="AQ174" i="6"/>
  <c r="AU174" i="6" s="1"/>
  <c r="F157" i="6"/>
  <c r="J158" i="6"/>
  <c r="X173" i="6"/>
  <c r="R172" i="6"/>
  <c r="AF171" i="6"/>
  <c r="AF170" i="6" s="1"/>
  <c r="AF169" i="6" s="1"/>
  <c r="AF168" i="6" s="1"/>
  <c r="AJ172" i="6"/>
  <c r="M171" i="6"/>
  <c r="M170" i="6" s="1"/>
  <c r="M169" i="6" s="1"/>
  <c r="M168" i="6" s="1"/>
  <c r="Q172" i="6"/>
  <c r="Q175" i="6" s="1"/>
  <c r="Q176" i="6" s="1"/>
  <c r="BQ171" i="6"/>
  <c r="BQ170" i="6" s="1"/>
  <c r="BQ169" i="6" s="1"/>
  <c r="BQ168" i="6" s="1"/>
  <c r="BW172" i="6"/>
  <c r="BW175" i="6" s="1"/>
  <c r="BW176" i="6" s="1"/>
  <c r="BJ172" i="6"/>
  <c r="BP173" i="6"/>
  <c r="Y171" i="6"/>
  <c r="Y170" i="6" s="1"/>
  <c r="Y169" i="6" s="1"/>
  <c r="Y168" i="6" s="1"/>
  <c r="AC172" i="6"/>
  <c r="AC175" i="6" s="1"/>
  <c r="AC176" i="6" s="1"/>
  <c r="AW172" i="6"/>
  <c r="BC173" i="6"/>
  <c r="BI173" i="6" s="1"/>
  <c r="K151" i="6"/>
  <c r="K150" i="6" s="1"/>
  <c r="K149" i="6" s="1"/>
  <c r="K148" i="6" s="1"/>
  <c r="K147" i="6" s="1"/>
  <c r="K146" i="6" s="1"/>
  <c r="BD157" i="6"/>
  <c r="BH158" i="6"/>
  <c r="AV177" i="6"/>
  <c r="AZ30" i="10" s="1"/>
  <c r="CB30" i="10" s="1"/>
  <c r="CD30" i="10" s="1"/>
  <c r="CE30" i="10" s="1"/>
  <c r="AO172" i="6" l="1"/>
  <c r="AQ173" i="6"/>
  <c r="AU173" i="6" s="1"/>
  <c r="CL30" i="10"/>
  <c r="CG30" i="10"/>
  <c r="AJ175" i="6"/>
  <c r="AJ176" i="6" s="1"/>
  <c r="R171" i="6"/>
  <c r="R170" i="6" s="1"/>
  <c r="R169" i="6" s="1"/>
  <c r="R168" i="6" s="1"/>
  <c r="X172" i="6"/>
  <c r="X175" i="6" s="1"/>
  <c r="X176" i="6" s="1"/>
  <c r="BH157" i="6"/>
  <c r="BH159" i="6" s="1"/>
  <c r="BD156" i="6"/>
  <c r="BD155" i="6" s="1"/>
  <c r="BD154" i="6" s="1"/>
  <c r="BD153" i="6" s="1"/>
  <c r="K145" i="6"/>
  <c r="AW171" i="6"/>
  <c r="AW170" i="6" s="1"/>
  <c r="AW169" i="6" s="1"/>
  <c r="AW168" i="6" s="1"/>
  <c r="BC172" i="6"/>
  <c r="Y167" i="6"/>
  <c r="AC168" i="6"/>
  <c r="BJ171" i="6"/>
  <c r="BJ170" i="6" s="1"/>
  <c r="BJ169" i="6" s="1"/>
  <c r="BJ168" i="6" s="1"/>
  <c r="BP172" i="6"/>
  <c r="BP175" i="6" s="1"/>
  <c r="BP176" i="6" s="1"/>
  <c r="BW168" i="6"/>
  <c r="BQ167" i="6"/>
  <c r="M167" i="6"/>
  <c r="Q168" i="6"/>
  <c r="AF167" i="6"/>
  <c r="AJ168" i="6"/>
  <c r="J157" i="6"/>
  <c r="J159" i="6" s="1"/>
  <c r="F156" i="6"/>
  <c r="F155" i="6" s="1"/>
  <c r="F154" i="6" s="1"/>
  <c r="F153" i="6" s="1"/>
  <c r="AO171" i="6" l="1"/>
  <c r="AO170" i="6" s="1"/>
  <c r="AO169" i="6" s="1"/>
  <c r="AO168" i="6" s="1"/>
  <c r="AQ172" i="6"/>
  <c r="AQ175" i="6" s="1"/>
  <c r="AQ176" i="6" s="1"/>
  <c r="BQ166" i="6"/>
  <c r="BQ165" i="6" s="1"/>
  <c r="BQ164" i="6" s="1"/>
  <c r="BQ163" i="6" s="1"/>
  <c r="BW167" i="6"/>
  <c r="BC175" i="6"/>
  <c r="BC176" i="6" s="1"/>
  <c r="BI172" i="6"/>
  <c r="BI175" i="6" s="1"/>
  <c r="BI176" i="6" s="1"/>
  <c r="BD152" i="6"/>
  <c r="BH153" i="6"/>
  <c r="R167" i="6"/>
  <c r="X168" i="6"/>
  <c r="J153" i="6"/>
  <c r="F152" i="6"/>
  <c r="AF166" i="6"/>
  <c r="AF165" i="6" s="1"/>
  <c r="AF164" i="6" s="1"/>
  <c r="AF163" i="6" s="1"/>
  <c r="AJ167" i="6"/>
  <c r="M166" i="6"/>
  <c r="M165" i="6" s="1"/>
  <c r="M164" i="6" s="1"/>
  <c r="M163" i="6" s="1"/>
  <c r="Q167" i="6"/>
  <c r="Q169" i="6" s="1"/>
  <c r="Q170" i="6" s="1"/>
  <c r="BJ167" i="6"/>
  <c r="BP168" i="6"/>
  <c r="Y166" i="6"/>
  <c r="Y165" i="6" s="1"/>
  <c r="Y164" i="6" s="1"/>
  <c r="AC167" i="6"/>
  <c r="AC169" i="6" s="1"/>
  <c r="AC170" i="6" s="1"/>
  <c r="AW167" i="6"/>
  <c r="BC168" i="6"/>
  <c r="K144" i="6"/>
  <c r="K143" i="6" s="1"/>
  <c r="K142" i="6" s="1"/>
  <c r="K141" i="6" s="1"/>
  <c r="K140" i="6" s="1"/>
  <c r="K139" i="6" s="1"/>
  <c r="K138" i="6" s="1"/>
  <c r="K137" i="6" s="1"/>
  <c r="K136" i="6" s="1"/>
  <c r="K135" i="6" s="1"/>
  <c r="K134" i="6" s="1"/>
  <c r="K133" i="6" s="1"/>
  <c r="K132" i="6" s="1"/>
  <c r="K131" i="6" s="1"/>
  <c r="BW169" i="6"/>
  <c r="BW170" i="6" s="1"/>
  <c r="AU172" i="6"/>
  <c r="AU175" i="6" s="1"/>
  <c r="AU176" i="6" s="1"/>
  <c r="AO167" i="6" l="1"/>
  <c r="AQ168" i="6"/>
  <c r="AU168" i="6" s="1"/>
  <c r="AV171" i="6"/>
  <c r="AZ29" i="10" s="1"/>
  <c r="CB29" i="10" s="1"/>
  <c r="CD29" i="10" s="1"/>
  <c r="CE29" i="10" s="1"/>
  <c r="BI168" i="6"/>
  <c r="BQ162" i="6"/>
  <c r="BW163" i="6"/>
  <c r="F151" i="6"/>
  <c r="F150" i="6" s="1"/>
  <c r="F149" i="6" s="1"/>
  <c r="F148" i="6" s="1"/>
  <c r="F147" i="6" s="1"/>
  <c r="F146" i="6" s="1"/>
  <c r="J152" i="6"/>
  <c r="J154" i="6" s="1"/>
  <c r="J155" i="6" s="1"/>
  <c r="X167" i="6"/>
  <c r="R166" i="6"/>
  <c r="R165" i="6" s="1"/>
  <c r="R164" i="6" s="1"/>
  <c r="BD151" i="6"/>
  <c r="BD150" i="6" s="1"/>
  <c r="BD149" i="6" s="1"/>
  <c r="BD148" i="6" s="1"/>
  <c r="BD147" i="6" s="1"/>
  <c r="BD146" i="6" s="1"/>
  <c r="BH152" i="6"/>
  <c r="K130" i="6"/>
  <c r="AW166" i="6"/>
  <c r="AW165" i="6" s="1"/>
  <c r="AW164" i="6" s="1"/>
  <c r="BC167" i="6"/>
  <c r="BI167" i="6" s="1"/>
  <c r="Y162" i="6"/>
  <c r="Y163" i="6"/>
  <c r="AC163" i="6" s="1"/>
  <c r="BJ166" i="6"/>
  <c r="BJ165" i="6" s="1"/>
  <c r="BJ164" i="6" s="1"/>
  <c r="BJ163" i="6" s="1"/>
  <c r="BP167" i="6"/>
  <c r="BP169" i="6" s="1"/>
  <c r="BP170" i="6" s="1"/>
  <c r="M162" i="6"/>
  <c r="Q163" i="6"/>
  <c r="AF162" i="6"/>
  <c r="AJ163" i="6"/>
  <c r="X169" i="6"/>
  <c r="X170" i="6" s="1"/>
  <c r="AJ169" i="6"/>
  <c r="AJ170" i="6" s="1"/>
  <c r="AO166" i="6" l="1"/>
  <c r="AO165" i="6" s="1"/>
  <c r="AO164" i="6" s="1"/>
  <c r="AO163" i="6" s="1"/>
  <c r="AQ167" i="6"/>
  <c r="K129" i="6"/>
  <c r="K128" i="6" s="1"/>
  <c r="K127" i="6" s="1"/>
  <c r="BH154" i="6"/>
  <c r="BH155" i="6" s="1"/>
  <c r="R162" i="6"/>
  <c r="R163" i="6"/>
  <c r="X163" i="6" s="1"/>
  <c r="BW162" i="6"/>
  <c r="BQ161" i="6"/>
  <c r="CL29" i="10"/>
  <c r="CG29" i="10"/>
  <c r="BC169" i="6"/>
  <c r="BC170" i="6" s="1"/>
  <c r="AF161" i="6"/>
  <c r="AJ162" i="6"/>
  <c r="M161" i="6"/>
  <c r="Q162" i="6"/>
  <c r="BJ162" i="6"/>
  <c r="BP163" i="6"/>
  <c r="AC162" i="6"/>
  <c r="Y161" i="6"/>
  <c r="AW162" i="6"/>
  <c r="AW163" i="6"/>
  <c r="BC163" i="6" s="1"/>
  <c r="BI163" i="6" s="1"/>
  <c r="BD145" i="6"/>
  <c r="BH146" i="6"/>
  <c r="F145" i="6"/>
  <c r="J146" i="6"/>
  <c r="BI169" i="6"/>
  <c r="BI170" i="6" s="1"/>
  <c r="AQ169" i="6" l="1"/>
  <c r="AQ170" i="6" s="1"/>
  <c r="AU167" i="6"/>
  <c r="AU169" i="6" s="1"/>
  <c r="AU170" i="6" s="1"/>
  <c r="AV166" i="6" s="1"/>
  <c r="AZ28" i="10" s="1"/>
  <c r="CB28" i="10" s="1"/>
  <c r="CD28" i="10" s="1"/>
  <c r="CE28" i="10" s="1"/>
  <c r="AO162" i="6"/>
  <c r="AQ163" i="6"/>
  <c r="AU163" i="6" s="1"/>
  <c r="BQ160" i="6"/>
  <c r="BQ159" i="6" s="1"/>
  <c r="BQ158" i="6" s="1"/>
  <c r="BW161" i="6"/>
  <c r="Y160" i="6"/>
  <c r="Y159" i="6" s="1"/>
  <c r="Y158" i="6" s="1"/>
  <c r="AC161" i="6"/>
  <c r="J145" i="6"/>
  <c r="J147" i="6" s="1"/>
  <c r="J148" i="6" s="1"/>
  <c r="F144" i="6"/>
  <c r="F143" i="6" s="1"/>
  <c r="F142" i="6" s="1"/>
  <c r="F141" i="6" s="1"/>
  <c r="F140" i="6" s="1"/>
  <c r="F139" i="6" s="1"/>
  <c r="F138" i="6" s="1"/>
  <c r="F137" i="6" s="1"/>
  <c r="F136" i="6" s="1"/>
  <c r="F135" i="6" s="1"/>
  <c r="F134" i="6" s="1"/>
  <c r="F133" i="6" s="1"/>
  <c r="F132" i="6" s="1"/>
  <c r="F131" i="6" s="1"/>
  <c r="BH145" i="6"/>
  <c r="BD144" i="6"/>
  <c r="BD143" i="6" s="1"/>
  <c r="BD142" i="6" s="1"/>
  <c r="BD141" i="6" s="1"/>
  <c r="BD140" i="6" s="1"/>
  <c r="BD139" i="6" s="1"/>
  <c r="BD138" i="6" s="1"/>
  <c r="BD137" i="6" s="1"/>
  <c r="BD136" i="6" s="1"/>
  <c r="BD135" i="6" s="1"/>
  <c r="BD134" i="6" s="1"/>
  <c r="BD133" i="6" s="1"/>
  <c r="BD132" i="6" s="1"/>
  <c r="BD131" i="6" s="1"/>
  <c r="BC162" i="6"/>
  <c r="AW161" i="6"/>
  <c r="BJ161" i="6"/>
  <c r="BP162" i="6"/>
  <c r="M160" i="6"/>
  <c r="M159" i="6" s="1"/>
  <c r="M158" i="6" s="1"/>
  <c r="Q161" i="6"/>
  <c r="Q164" i="6" s="1"/>
  <c r="Q165" i="6" s="1"/>
  <c r="AF160" i="6"/>
  <c r="AF159" i="6" s="1"/>
  <c r="AF158" i="6" s="1"/>
  <c r="AJ161" i="6"/>
  <c r="R161" i="6"/>
  <c r="X162" i="6"/>
  <c r="AC164" i="6"/>
  <c r="AC165" i="6" s="1"/>
  <c r="BW164" i="6"/>
  <c r="BW165" i="6" s="1"/>
  <c r="AO161" i="6" l="1"/>
  <c r="AQ162" i="6"/>
  <c r="AU162" i="6" s="1"/>
  <c r="CG28" i="10"/>
  <c r="CL28" i="10"/>
  <c r="R160" i="6"/>
  <c r="R159" i="6" s="1"/>
  <c r="R158" i="6" s="1"/>
  <c r="X161" i="6"/>
  <c r="AF157" i="6"/>
  <c r="AJ158" i="6"/>
  <c r="M157" i="6"/>
  <c r="Q158" i="6"/>
  <c r="BP161" i="6"/>
  <c r="BJ160" i="6"/>
  <c r="BJ159" i="6" s="1"/>
  <c r="BJ158" i="6" s="1"/>
  <c r="BI162" i="6"/>
  <c r="BH147" i="6"/>
  <c r="BH148" i="6" s="1"/>
  <c r="AC158" i="6"/>
  <c r="Y157" i="6"/>
  <c r="BQ157" i="6"/>
  <c r="BW158" i="6"/>
  <c r="AW160" i="6"/>
  <c r="AW159" i="6" s="1"/>
  <c r="AW158" i="6" s="1"/>
  <c r="BC161" i="6"/>
  <c r="BI161" i="6" s="1"/>
  <c r="BH131" i="6"/>
  <c r="BD130" i="6"/>
  <c r="J131" i="6"/>
  <c r="F130" i="6"/>
  <c r="X164" i="6"/>
  <c r="X165" i="6" s="1"/>
  <c r="BP164" i="6"/>
  <c r="BP165" i="6" s="1"/>
  <c r="AJ164" i="6"/>
  <c r="AJ165" i="6" s="1"/>
  <c r="AO160" i="6" l="1"/>
  <c r="AO159" i="6" s="1"/>
  <c r="AO158" i="6" s="1"/>
  <c r="AQ161" i="6"/>
  <c r="J133" i="6"/>
  <c r="J137" i="6"/>
  <c r="BH137" i="6"/>
  <c r="BH133" i="6"/>
  <c r="BC158" i="6"/>
  <c r="AW157" i="6"/>
  <c r="BQ156" i="6"/>
  <c r="BQ155" i="6" s="1"/>
  <c r="BQ154" i="6" s="1"/>
  <c r="BQ153" i="6" s="1"/>
  <c r="BW157" i="6"/>
  <c r="BW159" i="6" s="1"/>
  <c r="M156" i="6"/>
  <c r="M155" i="6" s="1"/>
  <c r="M154" i="6" s="1"/>
  <c r="M153" i="6" s="1"/>
  <c r="Q157" i="6"/>
  <c r="Q159" i="6" s="1"/>
  <c r="AF156" i="6"/>
  <c r="AF155" i="6" s="1"/>
  <c r="AF154" i="6" s="1"/>
  <c r="AF153" i="6" s="1"/>
  <c r="AJ157" i="6"/>
  <c r="AJ159" i="6" s="1"/>
  <c r="R157" i="6"/>
  <c r="X158" i="6"/>
  <c r="BC164" i="6"/>
  <c r="BC165" i="6" s="1"/>
  <c r="F129" i="6"/>
  <c r="F128" i="6" s="1"/>
  <c r="F127" i="6" s="1"/>
  <c r="J130" i="6"/>
  <c r="BD129" i="6"/>
  <c r="BD128" i="6" s="1"/>
  <c r="BD127" i="6" s="1"/>
  <c r="BH130" i="6"/>
  <c r="Y156" i="6"/>
  <c r="Y155" i="6" s="1"/>
  <c r="Y154" i="6" s="1"/>
  <c r="Y153" i="6" s="1"/>
  <c r="AC157" i="6"/>
  <c r="AC159" i="6" s="1"/>
  <c r="BJ157" i="6"/>
  <c r="BP158" i="6"/>
  <c r="BI164" i="6"/>
  <c r="BI165" i="6" s="1"/>
  <c r="AQ164" i="6" l="1"/>
  <c r="AQ165" i="6" s="1"/>
  <c r="AU161" i="6"/>
  <c r="AU164" i="6" s="1"/>
  <c r="AU165" i="6" s="1"/>
  <c r="AV160" i="6" s="1"/>
  <c r="AZ27" i="10" s="1"/>
  <c r="CB27" i="10" s="1"/>
  <c r="CD27" i="10" s="1"/>
  <c r="CE27" i="10" s="1"/>
  <c r="CG27" i="10" s="1"/>
  <c r="AO157" i="6"/>
  <c r="AQ158" i="6"/>
  <c r="AU158" i="6" s="1"/>
  <c r="AV158" i="6" s="1"/>
  <c r="BJ156" i="6"/>
  <c r="BJ155" i="6" s="1"/>
  <c r="BJ154" i="6" s="1"/>
  <c r="BJ153" i="6" s="1"/>
  <c r="BP157" i="6"/>
  <c r="Y152" i="6"/>
  <c r="AC153" i="6"/>
  <c r="AW156" i="6"/>
  <c r="AW155" i="6" s="1"/>
  <c r="AW154" i="6" s="1"/>
  <c r="AW153" i="6" s="1"/>
  <c r="BC157" i="6"/>
  <c r="BI157" i="6" s="1"/>
  <c r="R156" i="6"/>
  <c r="R155" i="6" s="1"/>
  <c r="R154" i="6" s="1"/>
  <c r="R153" i="6" s="1"/>
  <c r="X157" i="6"/>
  <c r="AF152" i="6"/>
  <c r="AJ153" i="6"/>
  <c r="M152" i="6"/>
  <c r="Q153" i="6"/>
  <c r="BQ152" i="6"/>
  <c r="BW153" i="6"/>
  <c r="BC159" i="6"/>
  <c r="BI158" i="6"/>
  <c r="BP159" i="6"/>
  <c r="BH142" i="6"/>
  <c r="BH143" i="6" s="1"/>
  <c r="J142" i="6"/>
  <c r="J143" i="6" s="1"/>
  <c r="CL27" i="10" l="1"/>
  <c r="AO156" i="6"/>
  <c r="AO155" i="6" s="1"/>
  <c r="AO154" i="6" s="1"/>
  <c r="AO153" i="6" s="1"/>
  <c r="AQ157" i="6"/>
  <c r="AQ159" i="6" s="1"/>
  <c r="BI159" i="6"/>
  <c r="X159" i="6"/>
  <c r="AW152" i="6"/>
  <c r="BC153" i="6"/>
  <c r="BI153" i="6" s="1"/>
  <c r="Y151" i="6"/>
  <c r="Y150" i="6" s="1"/>
  <c r="Y149" i="6" s="1"/>
  <c r="Y148" i="6" s="1"/>
  <c r="Y147" i="6" s="1"/>
  <c r="Y146" i="6" s="1"/>
  <c r="AC152" i="6"/>
  <c r="AC154" i="6" s="1"/>
  <c r="AC155" i="6" s="1"/>
  <c r="BJ152" i="6"/>
  <c r="BP153" i="6"/>
  <c r="BQ151" i="6"/>
  <c r="BQ150" i="6" s="1"/>
  <c r="BQ149" i="6" s="1"/>
  <c r="BQ148" i="6" s="1"/>
  <c r="BQ147" i="6" s="1"/>
  <c r="BQ146" i="6" s="1"/>
  <c r="BW152" i="6"/>
  <c r="BW154" i="6" s="1"/>
  <c r="BW155" i="6" s="1"/>
  <c r="M151" i="6"/>
  <c r="M150" i="6" s="1"/>
  <c r="M149" i="6" s="1"/>
  <c r="M148" i="6" s="1"/>
  <c r="M147" i="6" s="1"/>
  <c r="M146" i="6" s="1"/>
  <c r="Q152" i="6"/>
  <c r="Q154" i="6" s="1"/>
  <c r="Q155" i="6" s="1"/>
  <c r="AF151" i="6"/>
  <c r="AF150" i="6" s="1"/>
  <c r="AF149" i="6" s="1"/>
  <c r="AF148" i="6" s="1"/>
  <c r="AF147" i="6" s="1"/>
  <c r="AF146" i="6" s="1"/>
  <c r="AJ152" i="6"/>
  <c r="R152" i="6"/>
  <c r="X153" i="6"/>
  <c r="AV159" i="6"/>
  <c r="AO152" i="6" l="1"/>
  <c r="AQ153" i="6"/>
  <c r="AU153" i="6"/>
  <c r="AU157" i="6"/>
  <c r="AU159" i="6" s="1"/>
  <c r="AV156" i="6" s="1"/>
  <c r="AZ26" i="10" s="1"/>
  <c r="CB26" i="10" s="1"/>
  <c r="CD26" i="10" s="1"/>
  <c r="CE26" i="10" s="1"/>
  <c r="X152" i="6"/>
  <c r="X154" i="6" s="1"/>
  <c r="X155" i="6" s="1"/>
  <c r="R151" i="6"/>
  <c r="R150" i="6" s="1"/>
  <c r="R149" i="6" s="1"/>
  <c r="R148" i="6" s="1"/>
  <c r="R147" i="6" s="1"/>
  <c r="R146" i="6" s="1"/>
  <c r="AF145" i="6"/>
  <c r="AJ146" i="6"/>
  <c r="M145" i="6"/>
  <c r="Q146" i="6"/>
  <c r="BQ145" i="6"/>
  <c r="BW146" i="6"/>
  <c r="BP152" i="6"/>
  <c r="BP154" i="6" s="1"/>
  <c r="BP155" i="6" s="1"/>
  <c r="BJ151" i="6"/>
  <c r="BJ150" i="6" s="1"/>
  <c r="BJ149" i="6" s="1"/>
  <c r="BJ148" i="6" s="1"/>
  <c r="BJ147" i="6" s="1"/>
  <c r="BJ146" i="6" s="1"/>
  <c r="Y145" i="6"/>
  <c r="AC146" i="6"/>
  <c r="BC152" i="6"/>
  <c r="AW151" i="6"/>
  <c r="AW150" i="6" s="1"/>
  <c r="AW149" i="6" s="1"/>
  <c r="AW148" i="6" s="1"/>
  <c r="AW147" i="6" s="1"/>
  <c r="AW146" i="6" s="1"/>
  <c r="AJ154" i="6"/>
  <c r="AJ155" i="6" s="1"/>
  <c r="AO151" i="6" l="1"/>
  <c r="AO150" i="6" s="1"/>
  <c r="AO149" i="6" s="1"/>
  <c r="AO148" i="6" s="1"/>
  <c r="AO147" i="6" s="1"/>
  <c r="AO146" i="6" s="1"/>
  <c r="AQ152" i="6"/>
  <c r="BC154" i="6"/>
  <c r="BC155" i="6" s="1"/>
  <c r="BI152" i="6"/>
  <c r="BI154" i="6" s="1"/>
  <c r="BI155" i="6" s="1"/>
  <c r="Y144" i="6"/>
  <c r="Y143" i="6" s="1"/>
  <c r="Y142" i="6" s="1"/>
  <c r="Y141" i="6" s="1"/>
  <c r="Y140" i="6" s="1"/>
  <c r="Y139" i="6" s="1"/>
  <c r="Y138" i="6" s="1"/>
  <c r="Y137" i="6" s="1"/>
  <c r="Y136" i="6" s="1"/>
  <c r="Y135" i="6" s="1"/>
  <c r="Y134" i="6" s="1"/>
  <c r="Y133" i="6" s="1"/>
  <c r="Y132" i="6" s="1"/>
  <c r="Y131" i="6" s="1"/>
  <c r="AC145" i="6"/>
  <c r="AC147" i="6" s="1"/>
  <c r="AC148" i="6" s="1"/>
  <c r="BQ144" i="6"/>
  <c r="BQ143" i="6" s="1"/>
  <c r="BQ142" i="6" s="1"/>
  <c r="BQ141" i="6" s="1"/>
  <c r="BQ140" i="6" s="1"/>
  <c r="BQ139" i="6" s="1"/>
  <c r="BQ138" i="6" s="1"/>
  <c r="BQ137" i="6" s="1"/>
  <c r="BQ136" i="6" s="1"/>
  <c r="BQ135" i="6" s="1"/>
  <c r="BQ134" i="6" s="1"/>
  <c r="BQ133" i="6" s="1"/>
  <c r="BQ132" i="6" s="1"/>
  <c r="BQ131" i="6" s="1"/>
  <c r="BW145" i="6"/>
  <c r="BW147" i="6" s="1"/>
  <c r="BW148" i="6" s="1"/>
  <c r="M144" i="6"/>
  <c r="M143" i="6" s="1"/>
  <c r="M142" i="6" s="1"/>
  <c r="M141" i="6" s="1"/>
  <c r="M140" i="6" s="1"/>
  <c r="M139" i="6" s="1"/>
  <c r="M138" i="6" s="1"/>
  <c r="M137" i="6" s="1"/>
  <c r="M136" i="6" s="1"/>
  <c r="M135" i="6" s="1"/>
  <c r="M134" i="6" s="1"/>
  <c r="M133" i="6" s="1"/>
  <c r="M132" i="6" s="1"/>
  <c r="M131" i="6" s="1"/>
  <c r="Q145" i="6"/>
  <c r="Q147" i="6" s="1"/>
  <c r="Q148" i="6" s="1"/>
  <c r="AF144" i="6"/>
  <c r="AF143" i="6" s="1"/>
  <c r="AF142" i="6" s="1"/>
  <c r="AF141" i="6" s="1"/>
  <c r="AF140" i="6" s="1"/>
  <c r="AF139" i="6" s="1"/>
  <c r="AF138" i="6" s="1"/>
  <c r="AF137" i="6" s="1"/>
  <c r="AF136" i="6" s="1"/>
  <c r="AF135" i="6" s="1"/>
  <c r="AF134" i="6" s="1"/>
  <c r="AF133" i="6" s="1"/>
  <c r="AF132" i="6" s="1"/>
  <c r="AF131" i="6" s="1"/>
  <c r="AJ145" i="6"/>
  <c r="CL26" i="10"/>
  <c r="CG26" i="10"/>
  <c r="BC146" i="6"/>
  <c r="BI146" i="6" s="1"/>
  <c r="AW145" i="6"/>
  <c r="BP146" i="6"/>
  <c r="BJ145" i="6"/>
  <c r="X146" i="6"/>
  <c r="R145" i="6"/>
  <c r="AQ154" i="6" l="1"/>
  <c r="AQ155" i="6" s="1"/>
  <c r="AU152" i="6"/>
  <c r="AU154" i="6" s="1"/>
  <c r="AU155" i="6" s="1"/>
  <c r="AV151" i="6" s="1"/>
  <c r="AZ25" i="10" s="1"/>
  <c r="CB25" i="10" s="1"/>
  <c r="CD25" i="10" s="1"/>
  <c r="CE25" i="10" s="1"/>
  <c r="CG25" i="10" s="1"/>
  <c r="AO145" i="6"/>
  <c r="AQ146" i="6"/>
  <c r="AU146" i="6" s="1"/>
  <c r="AF130" i="6"/>
  <c r="AJ131" i="6"/>
  <c r="M130" i="6"/>
  <c r="Q131" i="6"/>
  <c r="BQ130" i="6"/>
  <c r="BW131" i="6"/>
  <c r="Y130" i="6"/>
  <c r="AC131" i="6"/>
  <c r="R144" i="6"/>
  <c r="R143" i="6" s="1"/>
  <c r="R142" i="6" s="1"/>
  <c r="R141" i="6" s="1"/>
  <c r="R140" i="6" s="1"/>
  <c r="R139" i="6" s="1"/>
  <c r="R138" i="6" s="1"/>
  <c r="R137" i="6" s="1"/>
  <c r="R136" i="6" s="1"/>
  <c r="R135" i="6" s="1"/>
  <c r="R134" i="6" s="1"/>
  <c r="R133" i="6" s="1"/>
  <c r="R132" i="6" s="1"/>
  <c r="R131" i="6" s="1"/>
  <c r="X145" i="6"/>
  <c r="X147" i="6" s="1"/>
  <c r="X148" i="6" s="1"/>
  <c r="BJ144" i="6"/>
  <c r="BJ143" i="6" s="1"/>
  <c r="BJ142" i="6" s="1"/>
  <c r="BJ141" i="6" s="1"/>
  <c r="BJ140" i="6" s="1"/>
  <c r="BJ139" i="6" s="1"/>
  <c r="BJ138" i="6" s="1"/>
  <c r="BJ137" i="6" s="1"/>
  <c r="BJ136" i="6" s="1"/>
  <c r="BJ135" i="6" s="1"/>
  <c r="BJ134" i="6" s="1"/>
  <c r="BJ133" i="6" s="1"/>
  <c r="BJ132" i="6" s="1"/>
  <c r="BJ131" i="6" s="1"/>
  <c r="BP145" i="6"/>
  <c r="BP147" i="6" s="1"/>
  <c r="BP148" i="6" s="1"/>
  <c r="AW144" i="6"/>
  <c r="AW143" i="6" s="1"/>
  <c r="AW142" i="6" s="1"/>
  <c r="AW141" i="6" s="1"/>
  <c r="AW140" i="6" s="1"/>
  <c r="AW139" i="6" s="1"/>
  <c r="AW138" i="6" s="1"/>
  <c r="AW137" i="6" s="1"/>
  <c r="AW136" i="6" s="1"/>
  <c r="AW135" i="6" s="1"/>
  <c r="AW134" i="6" s="1"/>
  <c r="AW133" i="6" s="1"/>
  <c r="AW132" i="6" s="1"/>
  <c r="AW131" i="6" s="1"/>
  <c r="BC145" i="6"/>
  <c r="AJ147" i="6"/>
  <c r="AJ148" i="6" s="1"/>
  <c r="AO144" i="6" l="1"/>
  <c r="AO143" i="6" s="1"/>
  <c r="AO142" i="6" s="1"/>
  <c r="AO141" i="6" s="1"/>
  <c r="AO140" i="6" s="1"/>
  <c r="AO139" i="6" s="1"/>
  <c r="AO138" i="6" s="1"/>
  <c r="AO137" i="6" s="1"/>
  <c r="AO136" i="6" s="1"/>
  <c r="AO135" i="6" s="1"/>
  <c r="AO134" i="6" s="1"/>
  <c r="AO133" i="6" s="1"/>
  <c r="AO132" i="6" s="1"/>
  <c r="AO131" i="6" s="1"/>
  <c r="AQ145" i="6"/>
  <c r="CL25" i="10"/>
  <c r="BC147" i="6"/>
  <c r="BC148" i="6" s="1"/>
  <c r="BI145" i="6"/>
  <c r="BI147" i="6" s="1"/>
  <c r="BI148" i="6" s="1"/>
  <c r="AC130" i="6"/>
  <c r="Y129" i="6"/>
  <c r="Y128" i="6" s="1"/>
  <c r="Y127" i="6" s="1"/>
  <c r="BQ129" i="6"/>
  <c r="BQ128" i="6" s="1"/>
  <c r="BQ127" i="6" s="1"/>
  <c r="BW130" i="6"/>
  <c r="M129" i="6"/>
  <c r="M128" i="6" s="1"/>
  <c r="M127" i="6" s="1"/>
  <c r="Q130" i="6"/>
  <c r="AF129" i="6"/>
  <c r="AF128" i="6" s="1"/>
  <c r="AF127" i="6" s="1"/>
  <c r="AJ130" i="6"/>
  <c r="AW130" i="6"/>
  <c r="BC131" i="6"/>
  <c r="BJ130" i="6"/>
  <c r="BP131" i="6"/>
  <c r="X131" i="6"/>
  <c r="R130" i="6"/>
  <c r="AC133" i="6"/>
  <c r="AC137" i="6"/>
  <c r="BW137" i="6"/>
  <c r="BW133" i="6"/>
  <c r="Q133" i="6"/>
  <c r="Q137" i="6"/>
  <c r="AJ133" i="6"/>
  <c r="AJ137" i="6"/>
  <c r="AQ147" i="6" l="1"/>
  <c r="AQ148" i="6" s="1"/>
  <c r="AU145" i="6"/>
  <c r="AU147" i="6" s="1"/>
  <c r="AU148" i="6" s="1"/>
  <c r="AV144" i="6" s="1"/>
  <c r="AZ23" i="10" s="1"/>
  <c r="CB23" i="10" s="1"/>
  <c r="CD23" i="10" s="1"/>
  <c r="CE23" i="10" s="1"/>
  <c r="CL23" i="10" s="1"/>
  <c r="AO130" i="6"/>
  <c r="AQ131" i="6"/>
  <c r="AJ142" i="6"/>
  <c r="AJ143" i="6" s="1"/>
  <c r="Q142" i="6"/>
  <c r="Q143" i="6" s="1"/>
  <c r="AC142" i="6"/>
  <c r="AC143" i="6" s="1"/>
  <c r="X133" i="6"/>
  <c r="X137" i="6"/>
  <c r="BJ129" i="6"/>
  <c r="BJ128" i="6" s="1"/>
  <c r="BJ127" i="6" s="1"/>
  <c r="BP130" i="6"/>
  <c r="AW129" i="6"/>
  <c r="AW128" i="6" s="1"/>
  <c r="AW127" i="6" s="1"/>
  <c r="BC130" i="6"/>
  <c r="BI130" i="6" s="1"/>
  <c r="BW142" i="6"/>
  <c r="BW143" i="6" s="1"/>
  <c r="X130" i="6"/>
  <c r="R129" i="6"/>
  <c r="R128" i="6" s="1"/>
  <c r="R127" i="6" s="1"/>
  <c r="BP137" i="6"/>
  <c r="BP133" i="6"/>
  <c r="BC133" i="6"/>
  <c r="BC137" i="6"/>
  <c r="BI131" i="6"/>
  <c r="AO129" i="6" l="1"/>
  <c r="AO128" i="6" s="1"/>
  <c r="AO127" i="6" s="1"/>
  <c r="AQ130" i="6"/>
  <c r="AU130" i="6" s="1"/>
  <c r="CG23" i="10"/>
  <c r="AQ133" i="6"/>
  <c r="AQ137" i="6"/>
  <c r="AQ142" i="6" s="1"/>
  <c r="AQ143" i="6" s="1"/>
  <c r="AU131" i="6"/>
  <c r="BC142" i="6"/>
  <c r="BC143" i="6" s="1"/>
  <c r="BI137" i="6"/>
  <c r="BI133" i="6"/>
  <c r="BP142" i="6"/>
  <c r="BP143" i="6" s="1"/>
  <c r="X142" i="6"/>
  <c r="X143" i="6" s="1"/>
  <c r="AU137" i="6" l="1"/>
  <c r="AU133" i="6"/>
  <c r="BI142" i="6"/>
  <c r="BI143" i="6" s="1"/>
  <c r="AU142" i="6" l="1"/>
  <c r="AU143" i="6" s="1"/>
  <c r="AV129" i="6" l="1"/>
  <c r="AZ22" i="10" s="1"/>
  <c r="CB22" i="10" s="1"/>
  <c r="CD22" i="10" s="1"/>
  <c r="CE22" i="10" s="1"/>
  <c r="CG22" i="10" l="1"/>
  <c r="CL22" i="10"/>
  <c r="DQ21" i="17" l="1"/>
  <c r="DT21" i="17" s="1"/>
  <c r="DQ29" i="17"/>
  <c r="DT29" i="17" s="1"/>
  <c r="DQ35" i="17"/>
  <c r="DT35" i="17" s="1"/>
  <c r="DQ17" i="17" l="1"/>
  <c r="DT17" i="17" s="1"/>
  <c r="DQ22" i="17"/>
  <c r="DT22" i="17" s="1"/>
  <c r="DQ34" i="17" l="1"/>
  <c r="DT34" i="17" s="1"/>
  <c r="DQ30" i="17"/>
  <c r="DT30" i="17" s="1"/>
  <c r="DQ31" i="17"/>
  <c r="DT31" i="17" s="1"/>
  <c r="DQ24" i="17"/>
  <c r="DT24" i="17" s="1"/>
  <c r="DQ13" i="17" l="1"/>
  <c r="DT13" i="17" s="1"/>
  <c r="DQ37" i="17"/>
  <c r="DT37" i="17" s="1"/>
  <c r="DQ27" i="17"/>
  <c r="DT27" i="17" s="1"/>
  <c r="DQ19" i="17"/>
  <c r="DT19" i="17" s="1"/>
  <c r="DQ39" i="17"/>
  <c r="DT39" i="17" s="1"/>
  <c r="DQ23" i="17"/>
  <c r="DT23" i="17" s="1"/>
  <c r="DQ33" i="17"/>
  <c r="DT33" i="17" s="1"/>
  <c r="DQ15" i="17"/>
  <c r="DT15" i="17" s="1"/>
  <c r="DQ28" i="17"/>
  <c r="DT28" i="17" s="1"/>
  <c r="DQ36" i="17" l="1"/>
  <c r="DT36" i="17" s="1"/>
  <c r="DQ38" i="17"/>
  <c r="DT38" i="17" s="1"/>
  <c r="DQ20" i="17"/>
  <c r="DT20" i="17" s="1"/>
  <c r="DQ18" i="17" l="1"/>
  <c r="DT18" i="17" s="1"/>
  <c r="DQ12" i="17" l="1"/>
  <c r="DT12" i="17" s="1"/>
  <c r="DQ32" i="17" l="1"/>
  <c r="DT32" i="17" s="1"/>
  <c r="DQ16" i="17" l="1"/>
  <c r="DT16" i="17" s="1"/>
  <c r="DQ25" i="17" l="1"/>
  <c r="DT25" i="17" s="1"/>
  <c r="AS13" i="6"/>
  <c r="AW7" i="10"/>
  <c r="AX7" i="10"/>
  <c r="AL13" i="6"/>
  <c r="AP7" i="10"/>
  <c r="AQ17" i="10"/>
  <c r="AQ16" i="10"/>
  <c r="AQ15" i="10"/>
  <c r="AQ14" i="10"/>
  <c r="AQ13" i="10"/>
  <c r="AQ12" i="10"/>
  <c r="AQ11" i="10"/>
  <c r="AQ10" i="10"/>
  <c r="AQ9" i="10"/>
  <c r="AQ8" i="10"/>
  <c r="AQ7" i="10"/>
  <c r="AN13" i="6"/>
  <c r="AR7" i="10"/>
  <c r="AS13" i="10"/>
  <c r="AS12" i="10"/>
  <c r="AS11" i="10"/>
  <c r="AS10" i="10"/>
  <c r="AS9" i="10"/>
  <c r="AS8" i="10"/>
  <c r="AS7" i="10"/>
  <c r="AP13" i="6"/>
  <c r="AT7" i="10"/>
  <c r="AU7" i="10"/>
  <c r="AE13" i="6"/>
  <c r="AI7" i="10"/>
  <c r="AJ17" i="10"/>
  <c r="AJ16" i="10"/>
  <c r="AJ15" i="10"/>
  <c r="AJ14" i="10"/>
  <c r="AJ13" i="10"/>
  <c r="AJ12" i="10"/>
  <c r="AJ11" i="10"/>
  <c r="AJ10" i="10"/>
  <c r="AJ9" i="10"/>
  <c r="AJ8" i="10"/>
  <c r="AJ7" i="10"/>
  <c r="AG13" i="6"/>
  <c r="AK7" i="10"/>
  <c r="AL14" i="10"/>
  <c r="AL13" i="10"/>
  <c r="AL12" i="10"/>
  <c r="AL11" i="10"/>
  <c r="AL10" i="10"/>
  <c r="AL9" i="10"/>
  <c r="AL8" i="10"/>
  <c r="AL7" i="10"/>
  <c r="AI13" i="6"/>
  <c r="AM7" i="10"/>
  <c r="AN7" i="10"/>
  <c r="Z13" i="6"/>
  <c r="AD7" i="10"/>
  <c r="AE13" i="10"/>
  <c r="AE12" i="10"/>
  <c r="AE11" i="10"/>
  <c r="AE10" i="10"/>
  <c r="AE9" i="10"/>
  <c r="AE8" i="10"/>
  <c r="AE7" i="10"/>
  <c r="AB13" i="6"/>
  <c r="AF7" i="10"/>
  <c r="AG7" i="10"/>
  <c r="V17" i="10"/>
  <c r="V16" i="10"/>
  <c r="V15" i="10"/>
  <c r="V14" i="10"/>
  <c r="V13" i="10"/>
  <c r="V12" i="10"/>
  <c r="V11" i="10"/>
  <c r="V10" i="10"/>
  <c r="V9" i="10"/>
  <c r="V8" i="10"/>
  <c r="V7" i="10"/>
  <c r="S13" i="6"/>
  <c r="W7" i="10"/>
  <c r="X15" i="10"/>
  <c r="X14" i="10"/>
  <c r="X13" i="10"/>
  <c r="X12" i="10"/>
  <c r="X11" i="10"/>
  <c r="X10" i="10"/>
  <c r="X9" i="10"/>
  <c r="X8" i="10"/>
  <c r="X7" i="10"/>
  <c r="U13" i="6"/>
  <c r="Y7" i="10"/>
  <c r="Z15" i="10"/>
  <c r="Z14" i="10"/>
  <c r="Z13" i="10"/>
  <c r="Z12" i="10"/>
  <c r="Z11" i="10"/>
  <c r="Z10" i="10"/>
  <c r="Z9" i="10"/>
  <c r="Z8" i="10"/>
  <c r="Z7" i="10"/>
  <c r="W13" i="6"/>
  <c r="AA7" i="10"/>
  <c r="AB7" i="10"/>
  <c r="O17" i="10"/>
  <c r="O16" i="10"/>
  <c r="O15" i="10"/>
  <c r="O14" i="10"/>
  <c r="O13" i="10"/>
  <c r="O12" i="10"/>
  <c r="O11" i="10"/>
  <c r="O10" i="10"/>
  <c r="O9" i="10"/>
  <c r="O8" i="10"/>
  <c r="O7" i="10"/>
  <c r="L13" i="6"/>
  <c r="P7" i="10"/>
  <c r="Q13" i="10"/>
  <c r="Q12" i="10"/>
  <c r="Q11" i="10"/>
  <c r="Q10" i="10"/>
  <c r="Q9" i="10"/>
  <c r="Q8" i="10"/>
  <c r="Q7" i="10"/>
  <c r="N13" i="6"/>
  <c r="R7" i="10"/>
  <c r="S15" i="10"/>
  <c r="S14" i="10"/>
  <c r="S13" i="10"/>
  <c r="S12" i="10"/>
  <c r="S11" i="10"/>
  <c r="S10" i="10"/>
  <c r="S9" i="10"/>
  <c r="S8" i="10"/>
  <c r="S7" i="10"/>
  <c r="P13" i="6"/>
  <c r="T7" i="10"/>
  <c r="U7" i="10"/>
  <c r="E13" i="6"/>
  <c r="I7" i="10"/>
  <c r="J15" i="10"/>
  <c r="J14" i="10"/>
  <c r="J13" i="10"/>
  <c r="J12" i="10"/>
  <c r="J11" i="10"/>
  <c r="J10" i="10"/>
  <c r="J9" i="10"/>
  <c r="J8" i="10"/>
  <c r="J7" i="10"/>
  <c r="G13" i="6"/>
  <c r="K7" i="10"/>
  <c r="L17" i="10"/>
  <c r="L16" i="10"/>
  <c r="L15" i="10"/>
  <c r="L14" i="10"/>
  <c r="L13" i="10"/>
  <c r="L12" i="10"/>
  <c r="L11" i="10"/>
  <c r="L10" i="10"/>
  <c r="L9" i="10"/>
  <c r="L8" i="10"/>
  <c r="L7" i="10"/>
  <c r="I13" i="6"/>
  <c r="M7" i="10"/>
  <c r="N7" i="10"/>
  <c r="AY7" i="10"/>
  <c r="AR124" i="6"/>
  <c r="AR123" i="6"/>
  <c r="AR122" i="6"/>
  <c r="AR121" i="6"/>
  <c r="AR120" i="6"/>
  <c r="AR119" i="6"/>
  <c r="AR118" i="6"/>
  <c r="AR117" i="6"/>
  <c r="AR116" i="6"/>
  <c r="AR115" i="6"/>
  <c r="AR114" i="6"/>
  <c r="AR113" i="6"/>
  <c r="AR112" i="6"/>
  <c r="AR111" i="6"/>
  <c r="AR110" i="6"/>
  <c r="AR109" i="6"/>
  <c r="AR108" i="6"/>
  <c r="AR107" i="6"/>
  <c r="AR106" i="6"/>
  <c r="AR105" i="6"/>
  <c r="AR104" i="6"/>
  <c r="AR103" i="6"/>
  <c r="AR102" i="6"/>
  <c r="AR101" i="6"/>
  <c r="AR100" i="6"/>
  <c r="AR99" i="6"/>
  <c r="AR98" i="6"/>
  <c r="AR97" i="6"/>
  <c r="AR96" i="6"/>
  <c r="AR95" i="6"/>
  <c r="AR94" i="6"/>
  <c r="AR93" i="6"/>
  <c r="AR90" i="6"/>
  <c r="AR89" i="6"/>
  <c r="AR88" i="6"/>
  <c r="AR87" i="6"/>
  <c r="AR86" i="6"/>
  <c r="AR85" i="6"/>
  <c r="AR84" i="6"/>
  <c r="AR83" i="6"/>
  <c r="AR82" i="6"/>
  <c r="AR81" i="6"/>
  <c r="AR80" i="6"/>
  <c r="AR79" i="6"/>
  <c r="AR78" i="6"/>
  <c r="AR77" i="6"/>
  <c r="AR76" i="6"/>
  <c r="AR75" i="6"/>
  <c r="AR74" i="6"/>
  <c r="AR73" i="6"/>
  <c r="AR72" i="6"/>
  <c r="AR71" i="6"/>
  <c r="AR70" i="6"/>
  <c r="AR69" i="6"/>
  <c r="AR68" i="6"/>
  <c r="AR67" i="6"/>
  <c r="AR66" i="6"/>
  <c r="AR65" i="6"/>
  <c r="AR64" i="6"/>
  <c r="AR63" i="6"/>
  <c r="AR62" i="6"/>
  <c r="AR61" i="6"/>
  <c r="AR60" i="6"/>
  <c r="AR59" i="6"/>
  <c r="AR58" i="6"/>
  <c r="AR57" i="6"/>
  <c r="AR56" i="6"/>
  <c r="AR55" i="6"/>
  <c r="AR54" i="6"/>
  <c r="AR53" i="6"/>
  <c r="AR52" i="6"/>
  <c r="AR51" i="6"/>
  <c r="AR50" i="6"/>
  <c r="AR49" i="6"/>
  <c r="AR48" i="6"/>
  <c r="AR47" i="6"/>
  <c r="AR46" i="6"/>
  <c r="AR45" i="6"/>
  <c r="AR44" i="6"/>
  <c r="AR43" i="6"/>
  <c r="AR42" i="6"/>
  <c r="AR41" i="6"/>
  <c r="AR40" i="6"/>
  <c r="AR39" i="6"/>
  <c r="AR38" i="6"/>
  <c r="AR37" i="6"/>
  <c r="AR36" i="6"/>
  <c r="AR35" i="6"/>
  <c r="AR34" i="6"/>
  <c r="AR33" i="6"/>
  <c r="AR32" i="6"/>
  <c r="AR31" i="6"/>
  <c r="AR30" i="6"/>
  <c r="AR29" i="6"/>
  <c r="AR28" i="6"/>
  <c r="AR27" i="6"/>
  <c r="AR26" i="6"/>
  <c r="AR25" i="6"/>
  <c r="AR24" i="6"/>
  <c r="AR23" i="6"/>
  <c r="AR22" i="6"/>
  <c r="AR21" i="6"/>
  <c r="AR20" i="6"/>
  <c r="AR19" i="6"/>
  <c r="AR18" i="6"/>
  <c r="AR17" i="6"/>
  <c r="AR16" i="6"/>
  <c r="AR15" i="6"/>
  <c r="AR14" i="6"/>
  <c r="AR13" i="6"/>
  <c r="AR12" i="6"/>
  <c r="AR11" i="6"/>
  <c r="AR10" i="6"/>
  <c r="AR9" i="6"/>
  <c r="AR8" i="6"/>
  <c r="AT8" i="6"/>
  <c r="AK123" i="6"/>
  <c r="AK122" i="6"/>
  <c r="AK121" i="6"/>
  <c r="AK120" i="6"/>
  <c r="AK119" i="6"/>
  <c r="AK118" i="6"/>
  <c r="AK117" i="6"/>
  <c r="AK116" i="6"/>
  <c r="AK115" i="6"/>
  <c r="AK114" i="6"/>
  <c r="AK113" i="6"/>
  <c r="AK112" i="6"/>
  <c r="AK111" i="6"/>
  <c r="AK110" i="6"/>
  <c r="AK109" i="6"/>
  <c r="AK108" i="6"/>
  <c r="AK107" i="6"/>
  <c r="AK106" i="6"/>
  <c r="AK105" i="6"/>
  <c r="AK104" i="6"/>
  <c r="AK103" i="6"/>
  <c r="AK102" i="6"/>
  <c r="AK101" i="6"/>
  <c r="AK100" i="6"/>
  <c r="AK99" i="6"/>
  <c r="AK98" i="6"/>
  <c r="AK97" i="6"/>
  <c r="AK96" i="6"/>
  <c r="AK95" i="6"/>
  <c r="AK94" i="6"/>
  <c r="AK93" i="6"/>
  <c r="AK90" i="6"/>
  <c r="AK89" i="6"/>
  <c r="AK88" i="6"/>
  <c r="AK87" i="6"/>
  <c r="AK86" i="6"/>
  <c r="AK85" i="6"/>
  <c r="AK84" i="6"/>
  <c r="AK83" i="6"/>
  <c r="AK82" i="6"/>
  <c r="AK81" i="6"/>
  <c r="AK80" i="6"/>
  <c r="AK79" i="6"/>
  <c r="AK78" i="6"/>
  <c r="AK77" i="6"/>
  <c r="AK76" i="6"/>
  <c r="AK75" i="6"/>
  <c r="AK74" i="6"/>
  <c r="AK73" i="6"/>
  <c r="AK72" i="6"/>
  <c r="AK71" i="6"/>
  <c r="AK70" i="6"/>
  <c r="AK69" i="6"/>
  <c r="AK68" i="6"/>
  <c r="AK67" i="6"/>
  <c r="AK66" i="6"/>
  <c r="AK65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K50" i="6"/>
  <c r="AK49" i="6"/>
  <c r="AK48" i="6"/>
  <c r="AK47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AK8" i="6"/>
  <c r="AM123" i="6"/>
  <c r="AM122" i="6"/>
  <c r="AM121" i="6"/>
  <c r="AM120" i="6"/>
  <c r="AM119" i="6"/>
  <c r="AM118" i="6"/>
  <c r="AM117" i="6"/>
  <c r="AM116" i="6"/>
  <c r="AM115" i="6"/>
  <c r="AM114" i="6"/>
  <c r="AM113" i="6"/>
  <c r="AM112" i="6"/>
  <c r="AM111" i="6"/>
  <c r="AM110" i="6"/>
  <c r="AM109" i="6"/>
  <c r="AM108" i="6"/>
  <c r="AM107" i="6"/>
  <c r="AM106" i="6"/>
  <c r="AM105" i="6"/>
  <c r="AM104" i="6"/>
  <c r="AM103" i="6"/>
  <c r="AM102" i="6"/>
  <c r="AM101" i="6"/>
  <c r="AM100" i="6"/>
  <c r="AM99" i="6"/>
  <c r="AM98" i="6"/>
  <c r="AM97" i="6"/>
  <c r="AM96" i="6"/>
  <c r="AM95" i="6"/>
  <c r="AM94" i="6"/>
  <c r="AM93" i="6"/>
  <c r="AM90" i="6"/>
  <c r="AM89" i="6"/>
  <c r="AM88" i="6"/>
  <c r="AM87" i="6"/>
  <c r="AM86" i="6"/>
  <c r="AM85" i="6"/>
  <c r="AM84" i="6"/>
  <c r="AM83" i="6"/>
  <c r="AM82" i="6"/>
  <c r="AM81" i="6"/>
  <c r="AM80" i="6"/>
  <c r="AM79" i="6"/>
  <c r="AM78" i="6"/>
  <c r="AM77" i="6"/>
  <c r="AM76" i="6"/>
  <c r="AM75" i="6"/>
  <c r="AM74" i="6"/>
  <c r="AM73" i="6"/>
  <c r="AM72" i="6"/>
  <c r="AM71" i="6"/>
  <c r="AM70" i="6"/>
  <c r="AM69" i="6"/>
  <c r="AM68" i="6"/>
  <c r="AM67" i="6"/>
  <c r="AM66" i="6"/>
  <c r="AM65" i="6"/>
  <c r="AM64" i="6"/>
  <c r="AM63" i="6"/>
  <c r="AM62" i="6"/>
  <c r="AM61" i="6"/>
  <c r="AM60" i="6"/>
  <c r="AM59" i="6"/>
  <c r="AM58" i="6"/>
  <c r="AM57" i="6"/>
  <c r="AM56" i="6"/>
  <c r="AM55" i="6"/>
  <c r="AM54" i="6"/>
  <c r="AM53" i="6"/>
  <c r="AM52" i="6"/>
  <c r="AM51" i="6"/>
  <c r="AM50" i="6"/>
  <c r="AM49" i="6"/>
  <c r="AM48" i="6"/>
  <c r="AM47" i="6"/>
  <c r="AM46" i="6"/>
  <c r="AM45" i="6"/>
  <c r="AM44" i="6"/>
  <c r="AM43" i="6"/>
  <c r="AM42" i="6"/>
  <c r="AM41" i="6"/>
  <c r="AM40" i="6"/>
  <c r="AM39" i="6"/>
  <c r="AM38" i="6"/>
  <c r="AM37" i="6"/>
  <c r="AM36" i="6"/>
  <c r="AM35" i="6"/>
  <c r="AM34" i="6"/>
  <c r="AM33" i="6"/>
  <c r="AM32" i="6"/>
  <c r="AM31" i="6"/>
  <c r="AM30" i="6"/>
  <c r="AM29" i="6"/>
  <c r="AM28" i="6"/>
  <c r="AM27" i="6"/>
  <c r="AM26" i="6"/>
  <c r="AM25" i="6"/>
  <c r="AM24" i="6"/>
  <c r="AM23" i="6"/>
  <c r="AM22" i="6"/>
  <c r="AM21" i="6"/>
  <c r="AM20" i="6"/>
  <c r="AM19" i="6"/>
  <c r="AM18" i="6"/>
  <c r="AM17" i="6"/>
  <c r="AM16" i="6"/>
  <c r="AM15" i="6"/>
  <c r="AM14" i="6"/>
  <c r="AM13" i="6"/>
  <c r="AM12" i="6"/>
  <c r="AM11" i="6"/>
  <c r="AM10" i="6"/>
  <c r="AM9" i="6"/>
  <c r="AM8" i="6"/>
  <c r="AO124" i="6"/>
  <c r="AO123" i="6"/>
  <c r="AO122" i="6"/>
  <c r="AO121" i="6"/>
  <c r="AO120" i="6"/>
  <c r="AO119" i="6"/>
  <c r="AO118" i="6"/>
  <c r="AO117" i="6"/>
  <c r="AO116" i="6"/>
  <c r="AO115" i="6"/>
  <c r="AO114" i="6"/>
  <c r="AO113" i="6"/>
  <c r="AO112" i="6"/>
  <c r="AO111" i="6"/>
  <c r="AO110" i="6"/>
  <c r="AO109" i="6"/>
  <c r="AO108" i="6"/>
  <c r="AO107" i="6"/>
  <c r="AO106" i="6"/>
  <c r="AO105" i="6"/>
  <c r="AO104" i="6"/>
  <c r="AO103" i="6"/>
  <c r="AO102" i="6"/>
  <c r="AO101" i="6"/>
  <c r="AO100" i="6"/>
  <c r="AO99" i="6"/>
  <c r="AO98" i="6"/>
  <c r="AO97" i="6"/>
  <c r="AO96" i="6"/>
  <c r="AO95" i="6"/>
  <c r="AO94" i="6"/>
  <c r="AO93" i="6"/>
  <c r="AO90" i="6"/>
  <c r="AO89" i="6"/>
  <c r="AO88" i="6"/>
  <c r="AO87" i="6"/>
  <c r="AO86" i="6"/>
  <c r="AO85" i="6"/>
  <c r="AO84" i="6"/>
  <c r="AO83" i="6"/>
  <c r="AO82" i="6"/>
  <c r="AO81" i="6"/>
  <c r="AO80" i="6"/>
  <c r="AO79" i="6"/>
  <c r="AO78" i="6"/>
  <c r="AO77" i="6"/>
  <c r="AO76" i="6"/>
  <c r="AO75" i="6"/>
  <c r="AO74" i="6"/>
  <c r="AO73" i="6"/>
  <c r="AO72" i="6"/>
  <c r="AO71" i="6"/>
  <c r="AO70" i="6"/>
  <c r="AO69" i="6"/>
  <c r="AO68" i="6"/>
  <c r="AO67" i="6"/>
  <c r="AO66" i="6"/>
  <c r="AO65" i="6"/>
  <c r="AO64" i="6"/>
  <c r="AO63" i="6"/>
  <c r="AO62" i="6"/>
  <c r="AO61" i="6"/>
  <c r="AO60" i="6"/>
  <c r="AO59" i="6"/>
  <c r="AO58" i="6"/>
  <c r="AO57" i="6"/>
  <c r="AO56" i="6"/>
  <c r="AO55" i="6"/>
  <c r="AO54" i="6"/>
  <c r="AO53" i="6"/>
  <c r="AO52" i="6"/>
  <c r="AO51" i="6"/>
  <c r="AO50" i="6"/>
  <c r="AO49" i="6"/>
  <c r="AO48" i="6"/>
  <c r="AO47" i="6"/>
  <c r="AO46" i="6"/>
  <c r="AO45" i="6"/>
  <c r="AO44" i="6"/>
  <c r="AO43" i="6"/>
  <c r="AO42" i="6"/>
  <c r="AO41" i="6"/>
  <c r="AO40" i="6"/>
  <c r="AO39" i="6"/>
  <c r="AO38" i="6"/>
  <c r="AO37" i="6"/>
  <c r="AO36" i="6"/>
  <c r="AO35" i="6"/>
  <c r="AO34" i="6"/>
  <c r="AO33" i="6"/>
  <c r="AO32" i="6"/>
  <c r="AO31" i="6"/>
  <c r="AO30" i="6"/>
  <c r="AO29" i="6"/>
  <c r="AO28" i="6"/>
  <c r="AO27" i="6"/>
  <c r="AO26" i="6"/>
  <c r="AO25" i="6"/>
  <c r="AO24" i="6"/>
  <c r="AO23" i="6"/>
  <c r="AO22" i="6"/>
  <c r="AO21" i="6"/>
  <c r="AO20" i="6"/>
  <c r="AO19" i="6"/>
  <c r="AO18" i="6"/>
  <c r="AO17" i="6"/>
  <c r="AO16" i="6"/>
  <c r="AO15" i="6"/>
  <c r="AO14" i="6"/>
  <c r="AO13" i="6"/>
  <c r="AO12" i="6"/>
  <c r="AO11" i="6"/>
  <c r="AO10" i="6"/>
  <c r="AO9" i="6"/>
  <c r="AO8" i="6"/>
  <c r="AQ8" i="6"/>
  <c r="AD115" i="6"/>
  <c r="AD114" i="6"/>
  <c r="AD113" i="6"/>
  <c r="AD112" i="6"/>
  <c r="AD111" i="6"/>
  <c r="AD110" i="6"/>
  <c r="AD109" i="6"/>
  <c r="AD108" i="6"/>
  <c r="AD107" i="6"/>
  <c r="AD106" i="6"/>
  <c r="AD105" i="6"/>
  <c r="AD104" i="6"/>
  <c r="AD103" i="6"/>
  <c r="AD102" i="6"/>
  <c r="AD101" i="6"/>
  <c r="AD100" i="6"/>
  <c r="AD99" i="6"/>
  <c r="AD98" i="6"/>
  <c r="AD97" i="6"/>
  <c r="AD96" i="6"/>
  <c r="AD95" i="6"/>
  <c r="AD94" i="6"/>
  <c r="AD93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H118" i="6"/>
  <c r="AH117" i="6"/>
  <c r="AH116" i="6"/>
  <c r="AH115" i="6"/>
  <c r="AH114" i="6"/>
  <c r="AH113" i="6"/>
  <c r="AH112" i="6"/>
  <c r="AH111" i="6"/>
  <c r="AH110" i="6"/>
  <c r="AH109" i="6"/>
  <c r="AH108" i="6"/>
  <c r="AH107" i="6"/>
  <c r="AH106" i="6"/>
  <c r="AH105" i="6"/>
  <c r="AH104" i="6"/>
  <c r="AH103" i="6"/>
  <c r="AH102" i="6"/>
  <c r="AH101" i="6"/>
  <c r="AH100" i="6"/>
  <c r="AH99" i="6"/>
  <c r="AH98" i="6"/>
  <c r="AH97" i="6"/>
  <c r="AH96" i="6"/>
  <c r="AH95" i="6"/>
  <c r="AH94" i="6"/>
  <c r="AH93" i="6"/>
  <c r="AH90" i="6"/>
  <c r="AH89" i="6"/>
  <c r="AH88" i="6"/>
  <c r="AH87" i="6"/>
  <c r="AH86" i="6"/>
  <c r="AH85" i="6"/>
  <c r="AH84" i="6"/>
  <c r="AH83" i="6"/>
  <c r="AH82" i="6"/>
  <c r="AH81" i="6"/>
  <c r="AH80" i="6"/>
  <c r="AH79" i="6"/>
  <c r="AH78" i="6"/>
  <c r="AH77" i="6"/>
  <c r="AH76" i="6"/>
  <c r="AH75" i="6"/>
  <c r="AH74" i="6"/>
  <c r="AH73" i="6"/>
  <c r="AH72" i="6"/>
  <c r="AH71" i="6"/>
  <c r="AH70" i="6"/>
  <c r="AH69" i="6"/>
  <c r="AH68" i="6"/>
  <c r="AH67" i="6"/>
  <c r="AH66" i="6"/>
  <c r="AH65" i="6"/>
  <c r="AH64" i="6"/>
  <c r="AH63" i="6"/>
  <c r="AH62" i="6"/>
  <c r="AH61" i="6"/>
  <c r="AH60" i="6"/>
  <c r="AH59" i="6"/>
  <c r="AH58" i="6"/>
  <c r="AH57" i="6"/>
  <c r="AH56" i="6"/>
  <c r="AH55" i="6"/>
  <c r="AH54" i="6"/>
  <c r="AH53" i="6"/>
  <c r="AH52" i="6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AJ8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AA124" i="6"/>
  <c r="AA123" i="6"/>
  <c r="AA122" i="6"/>
  <c r="AA121" i="6"/>
  <c r="AA120" i="6"/>
  <c r="AA119" i="6"/>
  <c r="AA118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C8" i="6"/>
  <c r="R119" i="6"/>
  <c r="R118" i="6"/>
  <c r="R117" i="6"/>
  <c r="R116" i="6"/>
  <c r="R115" i="6"/>
  <c r="R114" i="6"/>
  <c r="R113" i="6"/>
  <c r="R112" i="6"/>
  <c r="R111" i="6"/>
  <c r="R110" i="6"/>
  <c r="R109" i="6"/>
  <c r="R108" i="6"/>
  <c r="R107" i="6"/>
  <c r="R106" i="6"/>
  <c r="R105" i="6"/>
  <c r="R104" i="6"/>
  <c r="R103" i="6"/>
  <c r="R102" i="6"/>
  <c r="R101" i="6"/>
  <c r="R100" i="6"/>
  <c r="R99" i="6"/>
  <c r="R98" i="6"/>
  <c r="R97" i="6"/>
  <c r="R96" i="6"/>
  <c r="R95" i="6"/>
  <c r="R94" i="6"/>
  <c r="R93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X8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Q8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J8" i="6"/>
  <c r="AU8" i="6"/>
  <c r="AT9" i="6"/>
  <c r="AQ9" i="6"/>
  <c r="AJ9" i="6"/>
  <c r="AC9" i="6"/>
  <c r="X9" i="6"/>
  <c r="Q9" i="6"/>
  <c r="J9" i="6"/>
  <c r="AU9" i="6"/>
  <c r="AT10" i="6"/>
  <c r="AQ10" i="6"/>
  <c r="AJ10" i="6"/>
  <c r="AC10" i="6"/>
  <c r="X10" i="6"/>
  <c r="Q10" i="6"/>
  <c r="J10" i="6"/>
  <c r="AU10" i="6"/>
  <c r="AT11" i="6"/>
  <c r="AQ11" i="6"/>
  <c r="AJ11" i="6"/>
  <c r="AC11" i="6"/>
  <c r="X11" i="6"/>
  <c r="Q11" i="6"/>
  <c r="J11" i="6"/>
  <c r="AU11" i="6"/>
  <c r="AU12" i="6"/>
  <c r="AU13" i="6"/>
  <c r="AV7" i="6"/>
  <c r="AZ7" i="10"/>
  <c r="BE13" i="6"/>
  <c r="BI7" i="10"/>
  <c r="BJ15" i="10"/>
  <c r="BJ14" i="10"/>
  <c r="BJ13" i="10"/>
  <c r="BJ12" i="10"/>
  <c r="BJ11" i="10"/>
  <c r="BJ10" i="10"/>
  <c r="BJ9" i="10"/>
  <c r="BJ8" i="10"/>
  <c r="BJ7" i="10"/>
  <c r="BG13" i="6"/>
  <c r="BK7" i="10"/>
  <c r="BL7" i="10"/>
  <c r="AX13" i="6"/>
  <c r="BB7" i="10"/>
  <c r="BC13" i="10"/>
  <c r="BC12" i="10"/>
  <c r="BC11" i="10"/>
  <c r="BC10" i="10"/>
  <c r="BC9" i="10"/>
  <c r="BC8" i="10"/>
  <c r="BC7" i="10"/>
  <c r="AZ13" i="6"/>
  <c r="BD7" i="10"/>
  <c r="BE14" i="10"/>
  <c r="BE13" i="10"/>
  <c r="BE12" i="10"/>
  <c r="BE11" i="10"/>
  <c r="BE10" i="10"/>
  <c r="BE9" i="10"/>
  <c r="BE8" i="10"/>
  <c r="BE7" i="10"/>
  <c r="BB13" i="6"/>
  <c r="BF7" i="10"/>
  <c r="BG7" i="10"/>
  <c r="BM7" i="10"/>
  <c r="BK13" i="6"/>
  <c r="BO7" i="10"/>
  <c r="BP12" i="10"/>
  <c r="BP11" i="10"/>
  <c r="BP10" i="10"/>
  <c r="BP9" i="10"/>
  <c r="BP8" i="10"/>
  <c r="BP7" i="10"/>
  <c r="BM13" i="6"/>
  <c r="BQ7" i="10"/>
  <c r="BR15" i="10"/>
  <c r="BR14" i="10"/>
  <c r="BR13" i="10"/>
  <c r="BR12" i="10"/>
  <c r="BR11" i="10"/>
  <c r="BR10" i="10"/>
  <c r="BR9" i="10"/>
  <c r="BR8" i="10"/>
  <c r="BR7" i="10"/>
  <c r="BO13" i="6"/>
  <c r="BS7" i="10"/>
  <c r="BT7" i="10"/>
  <c r="BU15" i="10"/>
  <c r="BU14" i="10"/>
  <c r="BU13" i="10"/>
  <c r="BU12" i="10"/>
  <c r="BU11" i="10"/>
  <c r="BU10" i="10"/>
  <c r="BU9" i="10"/>
  <c r="BU8" i="10"/>
  <c r="BU7" i="10"/>
  <c r="BR13" i="6"/>
  <c r="BV7" i="10"/>
  <c r="BW12" i="10"/>
  <c r="BW11" i="10"/>
  <c r="BW10" i="10"/>
  <c r="BW9" i="10"/>
  <c r="BW8" i="10"/>
  <c r="BW7" i="10"/>
  <c r="BT13" i="6"/>
  <c r="BX7" i="10"/>
  <c r="BY15" i="10"/>
  <c r="BY14" i="10"/>
  <c r="BY13" i="10"/>
  <c r="BY12" i="10"/>
  <c r="BY11" i="10"/>
  <c r="BY10" i="10"/>
  <c r="BY9" i="10"/>
  <c r="BY8" i="10"/>
  <c r="BY7" i="10"/>
  <c r="BV13" i="6"/>
  <c r="BZ7" i="10"/>
  <c r="CA7" i="10"/>
  <c r="CB7" i="10"/>
  <c r="CD7" i="10"/>
  <c r="CE7" i="10"/>
  <c r="AS18" i="6"/>
  <c r="AW8" i="10"/>
  <c r="AX8" i="10"/>
  <c r="AL18" i="6"/>
  <c r="AP8" i="10"/>
  <c r="AN18" i="6"/>
  <c r="AR8" i="10"/>
  <c r="AP18" i="6"/>
  <c r="AT8" i="10"/>
  <c r="AU8" i="10"/>
  <c r="AE18" i="6"/>
  <c r="AI8" i="10"/>
  <c r="AG18" i="6"/>
  <c r="AK8" i="10"/>
  <c r="AI18" i="6"/>
  <c r="AM8" i="10"/>
  <c r="AN8" i="10"/>
  <c r="Z18" i="6"/>
  <c r="AD8" i="10"/>
  <c r="AB18" i="6"/>
  <c r="AF8" i="10"/>
  <c r="AG8" i="10"/>
  <c r="S18" i="6"/>
  <c r="W8" i="10"/>
  <c r="U18" i="6"/>
  <c r="Y8" i="10"/>
  <c r="W18" i="6"/>
  <c r="AA8" i="10"/>
  <c r="AB8" i="10"/>
  <c r="L18" i="6"/>
  <c r="P8" i="10"/>
  <c r="N18" i="6"/>
  <c r="R8" i="10"/>
  <c r="P18" i="6"/>
  <c r="T8" i="10"/>
  <c r="U8" i="10"/>
  <c r="E18" i="6"/>
  <c r="I8" i="10"/>
  <c r="G18" i="6"/>
  <c r="K8" i="10"/>
  <c r="I18" i="6"/>
  <c r="M8" i="10"/>
  <c r="N8" i="10"/>
  <c r="AY8" i="10"/>
  <c r="AT16" i="6"/>
  <c r="AQ16" i="6"/>
  <c r="AJ16" i="6"/>
  <c r="AC16" i="6"/>
  <c r="X16" i="6"/>
  <c r="Q16" i="6"/>
  <c r="J16" i="6"/>
  <c r="AU16" i="6"/>
  <c r="AT15" i="6"/>
  <c r="AQ15" i="6"/>
  <c r="AJ15" i="6"/>
  <c r="AC15" i="6"/>
  <c r="X15" i="6"/>
  <c r="Q15" i="6"/>
  <c r="J15" i="6"/>
  <c r="AU15" i="6"/>
  <c r="AU17" i="6"/>
  <c r="AU18" i="6"/>
  <c r="AV14" i="6"/>
  <c r="AZ8" i="10"/>
  <c r="BE18" i="6"/>
  <c r="BI8" i="10"/>
  <c r="BG18" i="6"/>
  <c r="BK8" i="10"/>
  <c r="BL8" i="10"/>
  <c r="AX18" i="6"/>
  <c r="BB8" i="10"/>
  <c r="AZ18" i="6"/>
  <c r="BD8" i="10"/>
  <c r="BB18" i="6"/>
  <c r="BF8" i="10"/>
  <c r="BG8" i="10"/>
  <c r="BM8" i="10"/>
  <c r="BK18" i="6"/>
  <c r="BO8" i="10"/>
  <c r="BM18" i="6"/>
  <c r="BQ8" i="10"/>
  <c r="BO18" i="6"/>
  <c r="BS8" i="10"/>
  <c r="BT8" i="10"/>
  <c r="BR18" i="6"/>
  <c r="BV8" i="10"/>
  <c r="BT18" i="6"/>
  <c r="BX8" i="10"/>
  <c r="BV18" i="6"/>
  <c r="BZ8" i="10"/>
  <c r="CA8" i="10"/>
  <c r="CB8" i="10"/>
  <c r="CD8" i="10"/>
  <c r="CE8" i="10"/>
  <c r="AU9" i="10"/>
  <c r="AN9" i="10"/>
  <c r="AG9" i="10"/>
  <c r="AB9" i="10"/>
  <c r="U9" i="10"/>
  <c r="N9" i="10"/>
  <c r="AY9" i="10"/>
  <c r="BL9" i="10"/>
  <c r="BG9" i="10"/>
  <c r="BM9" i="10"/>
  <c r="BT9" i="10"/>
  <c r="CA9" i="10"/>
  <c r="CB9" i="10"/>
  <c r="CD9" i="10"/>
  <c r="CE9" i="10"/>
  <c r="AU10" i="10"/>
  <c r="AN10" i="10"/>
  <c r="AG10" i="10"/>
  <c r="AB10" i="10"/>
  <c r="U10" i="10"/>
  <c r="N10" i="10"/>
  <c r="AY10" i="10"/>
  <c r="AT22" i="6"/>
  <c r="AQ22" i="6"/>
  <c r="AJ22" i="6"/>
  <c r="AC22" i="6"/>
  <c r="X22" i="6"/>
  <c r="Q22" i="6"/>
  <c r="J22" i="6"/>
  <c r="AU22" i="6"/>
  <c r="AU23" i="6"/>
  <c r="AV21" i="6"/>
  <c r="AZ10" i="10"/>
  <c r="BL10" i="10"/>
  <c r="BG10" i="10"/>
  <c r="BM10" i="10"/>
  <c r="BT10" i="10"/>
  <c r="CA10" i="10"/>
  <c r="CB10" i="10"/>
  <c r="E45" i="4"/>
  <c r="F45" i="4"/>
  <c r="E46" i="4"/>
  <c r="F46" i="4"/>
  <c r="E47" i="4"/>
  <c r="F47" i="4"/>
  <c r="F48" i="4"/>
  <c r="F49" i="4"/>
  <c r="CC10" i="10"/>
  <c r="CD10" i="10"/>
  <c r="CE10" i="10"/>
  <c r="AS37" i="6"/>
  <c r="AW11" i="10"/>
  <c r="AX11" i="10"/>
  <c r="AN37" i="6"/>
  <c r="AR11" i="10"/>
  <c r="AU11" i="10"/>
  <c r="AE37" i="6"/>
  <c r="AI11" i="10"/>
  <c r="AG37" i="6"/>
  <c r="AK11" i="10"/>
  <c r="AI37" i="6"/>
  <c r="AM11" i="10"/>
  <c r="AN11" i="10"/>
  <c r="Z37" i="6"/>
  <c r="AD11" i="10"/>
  <c r="AB37" i="6"/>
  <c r="AF11" i="10"/>
  <c r="AG11" i="10"/>
  <c r="S37" i="6"/>
  <c r="W11" i="10"/>
  <c r="U37" i="6"/>
  <c r="Y11" i="10"/>
  <c r="W37" i="6"/>
  <c r="AA11" i="10"/>
  <c r="AB11" i="10"/>
  <c r="P37" i="6"/>
  <c r="T11" i="10"/>
  <c r="U11" i="10"/>
  <c r="G37" i="6"/>
  <c r="K11" i="10"/>
  <c r="I37" i="6"/>
  <c r="M11" i="10"/>
  <c r="N11" i="10"/>
  <c r="AY11" i="10"/>
  <c r="AV37" i="6"/>
  <c r="AT25" i="6"/>
  <c r="AQ25" i="6"/>
  <c r="AF115" i="6"/>
  <c r="AF114" i="6"/>
  <c r="AF113" i="6"/>
  <c r="AF112" i="6"/>
  <c r="AF111" i="6"/>
  <c r="AF110" i="6"/>
  <c r="AF109" i="6"/>
  <c r="AF108" i="6"/>
  <c r="AF107" i="6"/>
  <c r="AF106" i="6"/>
  <c r="AF105" i="6"/>
  <c r="AF104" i="6"/>
  <c r="AF103" i="6"/>
  <c r="AF102" i="6"/>
  <c r="AF101" i="6"/>
  <c r="AF100" i="6"/>
  <c r="AF99" i="6"/>
  <c r="AF98" i="6"/>
  <c r="AF97" i="6"/>
  <c r="AF96" i="6"/>
  <c r="AF95" i="6"/>
  <c r="AF94" i="6"/>
  <c r="AF93" i="6"/>
  <c r="AF90" i="6"/>
  <c r="AF89" i="6"/>
  <c r="AF88" i="6"/>
  <c r="AF87" i="6"/>
  <c r="AF86" i="6"/>
  <c r="AF85" i="6"/>
  <c r="AF84" i="6"/>
  <c r="AF83" i="6"/>
  <c r="AF82" i="6"/>
  <c r="AF81" i="6"/>
  <c r="AF80" i="6"/>
  <c r="AF79" i="6"/>
  <c r="AF78" i="6"/>
  <c r="AF77" i="6"/>
  <c r="AF76" i="6"/>
  <c r="AF75" i="6"/>
  <c r="AF74" i="6"/>
  <c r="AF73" i="6"/>
  <c r="AF72" i="6"/>
  <c r="AF71" i="6"/>
  <c r="AF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J25" i="6"/>
  <c r="AC25" i="6"/>
  <c r="X25" i="6"/>
  <c r="Q25" i="6"/>
  <c r="J25" i="6"/>
  <c r="AU25" i="6"/>
  <c r="AT26" i="6"/>
  <c r="AQ26" i="6"/>
  <c r="AJ26" i="6"/>
  <c r="AC26" i="6"/>
  <c r="X26" i="6"/>
  <c r="Q26" i="6"/>
  <c r="J26" i="6"/>
  <c r="AU26" i="6"/>
  <c r="AU27" i="6"/>
  <c r="AT28" i="6"/>
  <c r="AQ28" i="6"/>
  <c r="AJ28" i="6"/>
  <c r="AC28" i="6"/>
  <c r="X28" i="6"/>
  <c r="Q28" i="6"/>
  <c r="J28" i="6"/>
  <c r="AU28" i="6"/>
  <c r="AT29" i="6"/>
  <c r="AQ29" i="6"/>
  <c r="AJ29" i="6"/>
  <c r="AC29" i="6"/>
  <c r="X29" i="6"/>
  <c r="Q29" i="6"/>
  <c r="J29" i="6"/>
  <c r="AU29" i="6"/>
  <c r="AU30" i="6"/>
  <c r="AT31" i="6"/>
  <c r="AQ31" i="6"/>
  <c r="AJ31" i="6"/>
  <c r="AC31" i="6"/>
  <c r="X31" i="6"/>
  <c r="Q31" i="6"/>
  <c r="J31" i="6"/>
  <c r="AU31" i="6"/>
  <c r="AT32" i="6"/>
  <c r="AQ32" i="6"/>
  <c r="AJ32" i="6"/>
  <c r="AC32" i="6"/>
  <c r="X32" i="6"/>
  <c r="Q32" i="6"/>
  <c r="J32" i="6"/>
  <c r="AU32" i="6"/>
  <c r="AT33" i="6"/>
  <c r="AQ33" i="6"/>
  <c r="AJ33" i="6"/>
  <c r="AC33" i="6"/>
  <c r="X33" i="6"/>
  <c r="Q33" i="6"/>
  <c r="J33" i="6"/>
  <c r="AU33" i="6"/>
  <c r="AT34" i="6"/>
  <c r="AQ34" i="6"/>
  <c r="AJ34" i="6"/>
  <c r="AC34" i="6"/>
  <c r="X34" i="6"/>
  <c r="Q34" i="6"/>
  <c r="J34" i="6"/>
  <c r="AU34" i="6"/>
  <c r="AT35" i="6"/>
  <c r="AQ35" i="6"/>
  <c r="AJ35" i="6"/>
  <c r="AC35" i="6"/>
  <c r="X35" i="6"/>
  <c r="Q35" i="6"/>
  <c r="J35" i="6"/>
  <c r="AU35" i="6"/>
  <c r="AU36" i="6"/>
  <c r="AU37" i="6"/>
  <c r="AV24" i="6"/>
  <c r="AZ11" i="10"/>
  <c r="BE37" i="6"/>
  <c r="BI11" i="10"/>
  <c r="BG37" i="6"/>
  <c r="BK11" i="10"/>
  <c r="BL11" i="10"/>
  <c r="BG11" i="10"/>
  <c r="BM11" i="10"/>
  <c r="BK37" i="6"/>
  <c r="BO11" i="10"/>
  <c r="BM37" i="6"/>
  <c r="BQ11" i="10"/>
  <c r="BO37" i="6"/>
  <c r="BS11" i="10"/>
  <c r="BT11" i="10"/>
  <c r="BT37" i="6"/>
  <c r="BX11" i="10"/>
  <c r="CA11" i="10"/>
  <c r="CB11" i="10"/>
  <c r="CD11" i="10"/>
  <c r="CE11" i="10"/>
  <c r="AS47" i="6"/>
  <c r="AW12" i="10"/>
  <c r="AX12" i="10"/>
  <c r="AL47" i="6"/>
  <c r="AP12" i="10"/>
  <c r="AN47" i="6"/>
  <c r="AR12" i="10"/>
  <c r="AP47" i="6"/>
  <c r="AT12" i="10"/>
  <c r="AU12" i="10"/>
  <c r="AE47" i="6"/>
  <c r="AI12" i="10"/>
  <c r="AG47" i="6"/>
  <c r="AK12" i="10"/>
  <c r="AI47" i="6"/>
  <c r="AM12" i="10"/>
  <c r="AN12" i="10"/>
  <c r="Z47" i="6"/>
  <c r="AD12" i="10"/>
  <c r="AB47" i="6"/>
  <c r="AF12" i="10"/>
  <c r="AG12" i="10"/>
  <c r="S47" i="6"/>
  <c r="W12" i="10"/>
  <c r="U47" i="6"/>
  <c r="Y12" i="10"/>
  <c r="W47" i="6"/>
  <c r="AA12" i="10"/>
  <c r="AB12" i="10"/>
  <c r="L47" i="6"/>
  <c r="P12" i="10"/>
  <c r="N47" i="6"/>
  <c r="R12" i="10"/>
  <c r="P47" i="6"/>
  <c r="T12" i="10"/>
  <c r="U12" i="10"/>
  <c r="E47" i="6"/>
  <c r="I12" i="10"/>
  <c r="G47" i="6"/>
  <c r="K12" i="10"/>
  <c r="I47" i="6"/>
  <c r="M12" i="10"/>
  <c r="N12" i="10"/>
  <c r="AY12" i="10"/>
  <c r="AQ39" i="6"/>
  <c r="AJ39" i="6"/>
  <c r="AC39" i="6"/>
  <c r="X39" i="6"/>
  <c r="Q39" i="6"/>
  <c r="J39" i="6"/>
  <c r="AU39" i="6"/>
  <c r="AV39" i="6"/>
  <c r="AV47" i="6"/>
  <c r="AT40" i="6"/>
  <c r="AQ40" i="6"/>
  <c r="AJ40" i="6"/>
  <c r="AC40" i="6"/>
  <c r="X40" i="6"/>
  <c r="Q40" i="6"/>
  <c r="J40" i="6"/>
  <c r="AU40" i="6"/>
  <c r="AT41" i="6"/>
  <c r="AQ41" i="6"/>
  <c r="AJ41" i="6"/>
  <c r="AC41" i="6"/>
  <c r="X41" i="6"/>
  <c r="Q41" i="6"/>
  <c r="J41" i="6"/>
  <c r="AU41" i="6"/>
  <c r="AU42" i="6"/>
  <c r="AT43" i="6"/>
  <c r="AQ43" i="6"/>
  <c r="AJ43" i="6"/>
  <c r="AC43" i="6"/>
  <c r="X43" i="6"/>
  <c r="Q43" i="6"/>
  <c r="J43" i="6"/>
  <c r="AU43" i="6"/>
  <c r="AT44" i="6"/>
  <c r="AQ44" i="6"/>
  <c r="AJ44" i="6"/>
  <c r="AC44" i="6"/>
  <c r="X44" i="6"/>
  <c r="Q44" i="6"/>
  <c r="J44" i="6"/>
  <c r="AU44" i="6"/>
  <c r="AT45" i="6"/>
  <c r="AQ45" i="6"/>
  <c r="AJ45" i="6"/>
  <c r="AC45" i="6"/>
  <c r="X45" i="6"/>
  <c r="Q45" i="6"/>
  <c r="J45" i="6"/>
  <c r="AU45" i="6"/>
  <c r="AU46" i="6"/>
  <c r="AU47" i="6"/>
  <c r="AV38" i="6"/>
  <c r="AZ12" i="10"/>
  <c r="BE47" i="6"/>
  <c r="BI12" i="10"/>
  <c r="BG47" i="6"/>
  <c r="BK12" i="10"/>
  <c r="BL12" i="10"/>
  <c r="AX47" i="6"/>
  <c r="BB12" i="10"/>
  <c r="AZ47" i="6"/>
  <c r="BD12" i="10"/>
  <c r="BB47" i="6"/>
  <c r="BF12" i="10"/>
  <c r="BG12" i="10"/>
  <c r="BM12" i="10"/>
  <c r="BK47" i="6"/>
  <c r="BO12" i="10"/>
  <c r="BM47" i="6"/>
  <c r="BQ12" i="10"/>
  <c r="BO47" i="6"/>
  <c r="BS12" i="10"/>
  <c r="BT12" i="10"/>
  <c r="BR47" i="6"/>
  <c r="BV12" i="10"/>
  <c r="BT47" i="6"/>
  <c r="BX12" i="10"/>
  <c r="BV47" i="6"/>
  <c r="BZ12" i="10"/>
  <c r="CA12" i="10"/>
  <c r="CB12" i="10"/>
  <c r="CD12" i="10"/>
  <c r="CE12" i="10"/>
  <c r="AS57" i="6"/>
  <c r="AW13" i="10"/>
  <c r="AX13" i="10"/>
  <c r="AL57" i="6"/>
  <c r="AP13" i="10"/>
  <c r="AP57" i="6"/>
  <c r="AT13" i="10"/>
  <c r="AU13" i="10"/>
  <c r="AG57" i="6"/>
  <c r="AK13" i="10"/>
  <c r="AI57" i="6"/>
  <c r="AM13" i="10"/>
  <c r="AN13" i="10"/>
  <c r="Z57" i="6"/>
  <c r="AD13" i="10"/>
  <c r="AB57" i="6"/>
  <c r="AF13" i="10"/>
  <c r="AG13" i="10"/>
  <c r="U57" i="6"/>
  <c r="Y13" i="10"/>
  <c r="W57" i="6"/>
  <c r="AA13" i="10"/>
  <c r="AB13" i="10"/>
  <c r="L57" i="6"/>
  <c r="P13" i="10"/>
  <c r="N57" i="6"/>
  <c r="R13" i="10"/>
  <c r="P57" i="6"/>
  <c r="T13" i="10"/>
  <c r="U13" i="10"/>
  <c r="E57" i="6"/>
  <c r="I13" i="10"/>
  <c r="I57" i="6"/>
  <c r="M13" i="10"/>
  <c r="N13" i="10"/>
  <c r="AY13" i="10"/>
  <c r="AT49" i="6"/>
  <c r="AQ49" i="6"/>
  <c r="AJ49" i="6"/>
  <c r="AC49" i="6"/>
  <c r="X49" i="6"/>
  <c r="Q49" i="6"/>
  <c r="J49" i="6"/>
  <c r="AU49" i="6"/>
  <c r="AV49" i="6"/>
  <c r="AV57" i="6"/>
  <c r="AT50" i="6"/>
  <c r="AQ50" i="6"/>
  <c r="AJ50" i="6"/>
  <c r="AC50" i="6"/>
  <c r="X50" i="6"/>
  <c r="Q50" i="6"/>
  <c r="J50" i="6"/>
  <c r="AU50" i="6"/>
  <c r="AT51" i="6"/>
  <c r="AQ51" i="6"/>
  <c r="AJ51" i="6"/>
  <c r="AC51" i="6"/>
  <c r="X51" i="6"/>
  <c r="Q51" i="6"/>
  <c r="J51" i="6"/>
  <c r="AU51" i="6"/>
  <c r="AU52" i="6"/>
  <c r="AT53" i="6"/>
  <c r="AQ53" i="6"/>
  <c r="AJ53" i="6"/>
  <c r="AC53" i="6"/>
  <c r="X53" i="6"/>
  <c r="Q53" i="6"/>
  <c r="J53" i="6"/>
  <c r="AU53" i="6"/>
  <c r="AT54" i="6"/>
  <c r="AQ54" i="6"/>
  <c r="AJ54" i="6"/>
  <c r="AC54" i="6"/>
  <c r="X54" i="6"/>
  <c r="Q54" i="6"/>
  <c r="J54" i="6"/>
  <c r="AU54" i="6"/>
  <c r="AT55" i="6"/>
  <c r="AQ55" i="6"/>
  <c r="AJ55" i="6"/>
  <c r="AC55" i="6"/>
  <c r="X55" i="6"/>
  <c r="Q55" i="6"/>
  <c r="J55" i="6"/>
  <c r="AU55" i="6"/>
  <c r="AU56" i="6"/>
  <c r="AU57" i="6"/>
  <c r="AV48" i="6"/>
  <c r="AZ13" i="10"/>
  <c r="BE57" i="6"/>
  <c r="BI13" i="10"/>
  <c r="BL13" i="10"/>
  <c r="AX57" i="6"/>
  <c r="BB13" i="10"/>
  <c r="AZ57" i="6"/>
  <c r="BD13" i="10"/>
  <c r="BB57" i="6"/>
  <c r="BF13" i="10"/>
  <c r="BG13" i="10"/>
  <c r="BM13" i="10"/>
  <c r="BK57" i="6"/>
  <c r="BO13" i="10"/>
  <c r="BM57" i="6"/>
  <c r="BQ13" i="10"/>
  <c r="BO57" i="6"/>
  <c r="BS13" i="10"/>
  <c r="BT13" i="10"/>
  <c r="BR57" i="6"/>
  <c r="BV13" i="10"/>
  <c r="BT57" i="6"/>
  <c r="BX13" i="10"/>
  <c r="BV57" i="6"/>
  <c r="BZ13" i="10"/>
  <c r="CA13" i="10"/>
  <c r="CB13" i="10"/>
  <c r="CD13" i="10"/>
  <c r="CE13" i="10"/>
  <c r="AS63" i="6"/>
  <c r="AW14" i="10"/>
  <c r="AX14" i="10"/>
  <c r="AL63" i="6"/>
  <c r="AP14" i="10"/>
  <c r="AN63" i="6"/>
  <c r="AR14" i="10"/>
  <c r="AP63" i="6"/>
  <c r="AT14" i="10"/>
  <c r="AU14" i="10"/>
  <c r="AI63" i="6"/>
  <c r="AM14" i="10"/>
  <c r="AN14" i="10"/>
  <c r="Z63" i="6"/>
  <c r="AD14" i="10"/>
  <c r="AB63" i="6"/>
  <c r="AF14" i="10"/>
  <c r="AG14" i="10"/>
  <c r="S63" i="6"/>
  <c r="W14" i="10"/>
  <c r="U63" i="6"/>
  <c r="Y14" i="10"/>
  <c r="W63" i="6"/>
  <c r="AA14" i="10"/>
  <c r="AB14" i="10"/>
  <c r="L63" i="6"/>
  <c r="P14" i="10"/>
  <c r="N63" i="6"/>
  <c r="R14" i="10"/>
  <c r="P63" i="6"/>
  <c r="T14" i="10"/>
  <c r="U14" i="10"/>
  <c r="N14" i="10"/>
  <c r="AY14" i="10"/>
  <c r="AV63" i="6"/>
  <c r="AT59" i="6"/>
  <c r="AQ59" i="6"/>
  <c r="AJ59" i="6"/>
  <c r="AC59" i="6"/>
  <c r="X59" i="6"/>
  <c r="Q59" i="6"/>
  <c r="J59" i="6"/>
  <c r="AU59" i="6"/>
  <c r="AT60" i="6"/>
  <c r="AQ60" i="6"/>
  <c r="AJ60" i="6"/>
  <c r="AC60" i="6"/>
  <c r="X60" i="6"/>
  <c r="Q60" i="6"/>
  <c r="J60" i="6"/>
  <c r="AU60" i="6"/>
  <c r="AT61" i="6"/>
  <c r="AQ61" i="6"/>
  <c r="AJ61" i="6"/>
  <c r="AC61" i="6"/>
  <c r="X61" i="6"/>
  <c r="Q61" i="6"/>
  <c r="J61" i="6"/>
  <c r="AU61" i="6"/>
  <c r="AT62" i="6"/>
  <c r="AQ62" i="6"/>
  <c r="AJ62" i="6"/>
  <c r="AC62" i="6"/>
  <c r="X62" i="6"/>
  <c r="Q62" i="6"/>
  <c r="J62" i="6"/>
  <c r="AU62" i="6"/>
  <c r="AU63" i="6"/>
  <c r="AV58" i="6"/>
  <c r="AZ14" i="10"/>
  <c r="BE63" i="6"/>
  <c r="BI14" i="10"/>
  <c r="BG63" i="6"/>
  <c r="BK14" i="10"/>
  <c r="BL14" i="10"/>
  <c r="AX63" i="6"/>
  <c r="BB14" i="10"/>
  <c r="AZ63" i="6"/>
  <c r="BD14" i="10"/>
  <c r="BB63" i="6"/>
  <c r="BF14" i="10"/>
  <c r="BG14" i="10"/>
  <c r="BM14" i="10"/>
  <c r="BK63" i="6"/>
  <c r="BO14" i="10"/>
  <c r="BM63" i="6"/>
  <c r="BQ14" i="10"/>
  <c r="BO63" i="6"/>
  <c r="BS14" i="10"/>
  <c r="BT14" i="10"/>
  <c r="BR63" i="6"/>
  <c r="BV14" i="10"/>
  <c r="BT63" i="6"/>
  <c r="BX14" i="10"/>
  <c r="BV63" i="6"/>
  <c r="BZ14" i="10"/>
  <c r="CA14" i="10"/>
  <c r="CB14" i="10"/>
  <c r="E103" i="4"/>
  <c r="F103" i="4"/>
  <c r="F107" i="4"/>
  <c r="F108" i="4"/>
  <c r="CC14" i="10"/>
  <c r="CD14" i="10"/>
  <c r="CE14" i="10"/>
  <c r="AS82" i="6"/>
  <c r="AW15" i="10"/>
  <c r="AX15" i="10"/>
  <c r="AU15" i="10"/>
  <c r="AE82" i="6"/>
  <c r="AI15" i="10"/>
  <c r="AN15" i="10"/>
  <c r="Z82" i="6"/>
  <c r="AD15" i="10"/>
  <c r="AB74" i="6"/>
  <c r="AB82" i="6"/>
  <c r="AF15" i="10"/>
  <c r="AG15" i="10"/>
  <c r="S74" i="6"/>
  <c r="S82" i="6"/>
  <c r="W15" i="10"/>
  <c r="U74" i="6"/>
  <c r="U82" i="6"/>
  <c r="Y15" i="10"/>
  <c r="W74" i="6"/>
  <c r="W82" i="6"/>
  <c r="AA15" i="10"/>
  <c r="AB15" i="10"/>
  <c r="L74" i="6"/>
  <c r="L82" i="6"/>
  <c r="P15" i="10"/>
  <c r="N74" i="6"/>
  <c r="N82" i="6"/>
  <c r="R15" i="10"/>
  <c r="P74" i="6"/>
  <c r="P82" i="6"/>
  <c r="T15" i="10"/>
  <c r="U15" i="10"/>
  <c r="G82" i="6"/>
  <c r="K15" i="10"/>
  <c r="I82" i="6"/>
  <c r="M15" i="10"/>
  <c r="N15" i="10"/>
  <c r="AY15" i="10"/>
  <c r="BJ119" i="6"/>
  <c r="BJ118" i="6"/>
  <c r="BJ117" i="6"/>
  <c r="BJ116" i="6"/>
  <c r="BJ115" i="6"/>
  <c r="BJ114" i="6"/>
  <c r="BJ113" i="6"/>
  <c r="BJ112" i="6"/>
  <c r="BJ111" i="6"/>
  <c r="BJ110" i="6"/>
  <c r="BJ109" i="6"/>
  <c r="BJ108" i="6"/>
  <c r="BJ107" i="6"/>
  <c r="BJ106" i="6"/>
  <c r="BJ105" i="6"/>
  <c r="BJ104" i="6"/>
  <c r="BJ103" i="6"/>
  <c r="BJ102" i="6"/>
  <c r="BJ101" i="6"/>
  <c r="BJ100" i="6"/>
  <c r="BJ99" i="6"/>
  <c r="BJ98" i="6"/>
  <c r="BJ97" i="6"/>
  <c r="BJ96" i="6"/>
  <c r="BJ95" i="6"/>
  <c r="BJ94" i="6"/>
  <c r="BJ93" i="6"/>
  <c r="BJ90" i="6"/>
  <c r="BJ89" i="6"/>
  <c r="BJ88" i="6"/>
  <c r="BJ87" i="6"/>
  <c r="BJ86" i="6"/>
  <c r="BJ85" i="6"/>
  <c r="BJ84" i="6"/>
  <c r="BJ83" i="6"/>
  <c r="BJ82" i="6"/>
  <c r="BJ81" i="6"/>
  <c r="BJ80" i="6"/>
  <c r="BJ79" i="6"/>
  <c r="BJ78" i="6"/>
  <c r="BJ77" i="6"/>
  <c r="BJ76" i="6"/>
  <c r="BJ75" i="6"/>
  <c r="BJ74" i="6"/>
  <c r="BJ73" i="6"/>
  <c r="BJ72" i="6"/>
  <c r="BJ71" i="6"/>
  <c r="BJ70" i="6"/>
  <c r="BJ69" i="6"/>
  <c r="BJ68" i="6"/>
  <c r="BJ67" i="6"/>
  <c r="BJ66" i="6"/>
  <c r="BJ65" i="6"/>
  <c r="BL122" i="6"/>
  <c r="BL121" i="6"/>
  <c r="BL120" i="6"/>
  <c r="BL119" i="6"/>
  <c r="BL118" i="6"/>
  <c r="BL117" i="6"/>
  <c r="BL116" i="6"/>
  <c r="BL115" i="6"/>
  <c r="BL114" i="6"/>
  <c r="BL113" i="6"/>
  <c r="BL112" i="6"/>
  <c r="BL111" i="6"/>
  <c r="BL110" i="6"/>
  <c r="BL109" i="6"/>
  <c r="BL108" i="6"/>
  <c r="BL107" i="6"/>
  <c r="BL106" i="6"/>
  <c r="BL105" i="6"/>
  <c r="BL104" i="6"/>
  <c r="BL103" i="6"/>
  <c r="BL102" i="6"/>
  <c r="BL101" i="6"/>
  <c r="BL100" i="6"/>
  <c r="BL99" i="6"/>
  <c r="BL98" i="6"/>
  <c r="BL97" i="6"/>
  <c r="BL96" i="6"/>
  <c r="BL95" i="6"/>
  <c r="BL94" i="6"/>
  <c r="BL93" i="6"/>
  <c r="BL90" i="6"/>
  <c r="BL89" i="6"/>
  <c r="BL88" i="6"/>
  <c r="BL87" i="6"/>
  <c r="BL86" i="6"/>
  <c r="BL85" i="6"/>
  <c r="BL84" i="6"/>
  <c r="BL83" i="6"/>
  <c r="BL82" i="6"/>
  <c r="BL81" i="6"/>
  <c r="BL80" i="6"/>
  <c r="BL79" i="6"/>
  <c r="BL78" i="6"/>
  <c r="BL77" i="6"/>
  <c r="BL76" i="6"/>
  <c r="BL75" i="6"/>
  <c r="BL74" i="6"/>
  <c r="BL73" i="6"/>
  <c r="BL72" i="6"/>
  <c r="BL71" i="6"/>
  <c r="BL70" i="6"/>
  <c r="BL69" i="6"/>
  <c r="BL68" i="6"/>
  <c r="BL67" i="6"/>
  <c r="BL66" i="6"/>
  <c r="BL65" i="6"/>
  <c r="BN123" i="6"/>
  <c r="BN122" i="6"/>
  <c r="BN121" i="6"/>
  <c r="BN120" i="6"/>
  <c r="BN119" i="6"/>
  <c r="BN118" i="6"/>
  <c r="BN117" i="6"/>
  <c r="BN116" i="6"/>
  <c r="BN115" i="6"/>
  <c r="BN114" i="6"/>
  <c r="BN113" i="6"/>
  <c r="BN112" i="6"/>
  <c r="BN111" i="6"/>
  <c r="BN110" i="6"/>
  <c r="BN109" i="6"/>
  <c r="BN108" i="6"/>
  <c r="BN107" i="6"/>
  <c r="BN106" i="6"/>
  <c r="BN105" i="6"/>
  <c r="BN104" i="6"/>
  <c r="BN103" i="6"/>
  <c r="BN102" i="6"/>
  <c r="BN101" i="6"/>
  <c r="BN100" i="6"/>
  <c r="BN99" i="6"/>
  <c r="BN98" i="6"/>
  <c r="BN97" i="6"/>
  <c r="BN96" i="6"/>
  <c r="BN95" i="6"/>
  <c r="BN94" i="6"/>
  <c r="BN93" i="6"/>
  <c r="BN90" i="6"/>
  <c r="BN89" i="6"/>
  <c r="BN88" i="6"/>
  <c r="BN87" i="6"/>
  <c r="BN86" i="6"/>
  <c r="BN85" i="6"/>
  <c r="BN84" i="6"/>
  <c r="BN83" i="6"/>
  <c r="BN82" i="6"/>
  <c r="BN81" i="6"/>
  <c r="BN80" i="6"/>
  <c r="BN79" i="6"/>
  <c r="BN78" i="6"/>
  <c r="BN77" i="6"/>
  <c r="BN76" i="6"/>
  <c r="BN75" i="6"/>
  <c r="BN74" i="6"/>
  <c r="BN73" i="6"/>
  <c r="BN72" i="6"/>
  <c r="BN71" i="6"/>
  <c r="BN70" i="6"/>
  <c r="BN69" i="6"/>
  <c r="BN68" i="6"/>
  <c r="BN67" i="6"/>
  <c r="BN66" i="6"/>
  <c r="BN65" i="6"/>
  <c r="BP65" i="6"/>
  <c r="BP66" i="6"/>
  <c r="BP67" i="6"/>
  <c r="BP68" i="6"/>
  <c r="BP69" i="6"/>
  <c r="BP70" i="6"/>
  <c r="BP71" i="6"/>
  <c r="BP72" i="6"/>
  <c r="BP73" i="6"/>
  <c r="BP74" i="6"/>
  <c r="BP75" i="6"/>
  <c r="BP76" i="6"/>
  <c r="BP77" i="6"/>
  <c r="BP78" i="6"/>
  <c r="BP79" i="6"/>
  <c r="BP81" i="6"/>
  <c r="BP82" i="6"/>
  <c r="AV82" i="6"/>
  <c r="AT65" i="6"/>
  <c r="AQ65" i="6"/>
  <c r="AJ65" i="6"/>
  <c r="AC65" i="6"/>
  <c r="X65" i="6"/>
  <c r="Q65" i="6"/>
  <c r="J65" i="6"/>
  <c r="AU65" i="6"/>
  <c r="AT66" i="6"/>
  <c r="AQ66" i="6"/>
  <c r="AJ66" i="6"/>
  <c r="AC66" i="6"/>
  <c r="X66" i="6"/>
  <c r="Q66" i="6"/>
  <c r="J66" i="6"/>
  <c r="AU66" i="6"/>
  <c r="AT67" i="6"/>
  <c r="AQ67" i="6"/>
  <c r="AJ67" i="6"/>
  <c r="AC67" i="6"/>
  <c r="X67" i="6"/>
  <c r="Q67" i="6"/>
  <c r="J67" i="6"/>
  <c r="AU67" i="6"/>
  <c r="AT68" i="6"/>
  <c r="AQ68" i="6"/>
  <c r="AJ68" i="6"/>
  <c r="AC68" i="6"/>
  <c r="X68" i="6"/>
  <c r="Q68" i="6"/>
  <c r="J68" i="6"/>
  <c r="AU68" i="6"/>
  <c r="AT69" i="6"/>
  <c r="AQ69" i="6"/>
  <c r="AJ69" i="6"/>
  <c r="AC69" i="6"/>
  <c r="X69" i="6"/>
  <c r="Q69" i="6"/>
  <c r="J69" i="6"/>
  <c r="AU69" i="6"/>
  <c r="AU70" i="6"/>
  <c r="AT71" i="6"/>
  <c r="AQ71" i="6"/>
  <c r="AJ71" i="6"/>
  <c r="AC71" i="6"/>
  <c r="X71" i="6"/>
  <c r="Q71" i="6"/>
  <c r="J71" i="6"/>
  <c r="AU71" i="6"/>
  <c r="AT72" i="6"/>
  <c r="AQ72" i="6"/>
  <c r="AJ72" i="6"/>
  <c r="AC72" i="6"/>
  <c r="X72" i="6"/>
  <c r="Q72" i="6"/>
  <c r="J72" i="6"/>
  <c r="AU72" i="6"/>
  <c r="AT73" i="6"/>
  <c r="AQ73" i="6"/>
  <c r="AJ73" i="6"/>
  <c r="AC73" i="6"/>
  <c r="X73" i="6"/>
  <c r="Q73" i="6"/>
  <c r="J73" i="6"/>
  <c r="AU73" i="6"/>
  <c r="AU74" i="6"/>
  <c r="AT75" i="6"/>
  <c r="AQ75" i="6"/>
  <c r="AJ75" i="6"/>
  <c r="AC75" i="6"/>
  <c r="X75" i="6"/>
  <c r="Q75" i="6"/>
  <c r="J75" i="6"/>
  <c r="AU75" i="6"/>
  <c r="AT76" i="6"/>
  <c r="AQ76" i="6"/>
  <c r="AJ76" i="6"/>
  <c r="AC76" i="6"/>
  <c r="X76" i="6"/>
  <c r="Q76" i="6"/>
  <c r="J76" i="6"/>
  <c r="AU76" i="6"/>
  <c r="AU77" i="6"/>
  <c r="AT78" i="6"/>
  <c r="AQ78" i="6"/>
  <c r="AJ78" i="6"/>
  <c r="AC78" i="6"/>
  <c r="X78" i="6"/>
  <c r="Q78" i="6"/>
  <c r="J78" i="6"/>
  <c r="AU78" i="6"/>
  <c r="AT79" i="6"/>
  <c r="AQ79" i="6"/>
  <c r="AJ79" i="6"/>
  <c r="AC79" i="6"/>
  <c r="X79" i="6"/>
  <c r="Q79" i="6"/>
  <c r="J79" i="6"/>
  <c r="AU79" i="6"/>
  <c r="AU81" i="6"/>
  <c r="AU82" i="6"/>
  <c r="AV64" i="6"/>
  <c r="AZ15" i="10"/>
  <c r="BE82" i="6"/>
  <c r="BI15" i="10"/>
  <c r="BG82" i="6"/>
  <c r="BK15" i="10"/>
  <c r="BL15" i="10"/>
  <c r="AX82" i="6"/>
  <c r="BB15" i="10"/>
  <c r="BG15" i="10"/>
  <c r="BM15" i="10"/>
  <c r="BO82" i="6"/>
  <c r="BS15" i="10"/>
  <c r="BT15" i="10"/>
  <c r="BR74" i="6"/>
  <c r="BR82" i="6"/>
  <c r="BV15" i="10"/>
  <c r="BV82" i="6"/>
  <c r="BZ15" i="10"/>
  <c r="CA15" i="10"/>
  <c r="CB15" i="10"/>
  <c r="CD15" i="10"/>
  <c r="CE15" i="10"/>
  <c r="AU16" i="10"/>
  <c r="AN16" i="10"/>
  <c r="AB16" i="10"/>
  <c r="U16" i="10"/>
  <c r="N16" i="10"/>
  <c r="AY16" i="10"/>
  <c r="AT84" i="6"/>
  <c r="AQ84" i="6"/>
  <c r="AJ84" i="6"/>
  <c r="AC84" i="6"/>
  <c r="X84" i="6"/>
  <c r="Q84" i="6"/>
  <c r="J84" i="6"/>
  <c r="AU84" i="6"/>
  <c r="AU85" i="6"/>
  <c r="AV83" i="6"/>
  <c r="AZ16" i="10"/>
  <c r="CB16" i="10"/>
  <c r="CD16" i="10"/>
  <c r="CE16" i="10"/>
  <c r="AS99" i="6"/>
  <c r="AW17" i="10"/>
  <c r="AX17" i="10"/>
  <c r="AL99" i="6"/>
  <c r="AP17" i="10"/>
  <c r="AN99" i="6"/>
  <c r="AR17" i="10"/>
  <c r="AP99" i="6"/>
  <c r="AT17" i="10"/>
  <c r="AU17" i="10"/>
  <c r="AE99" i="6"/>
  <c r="AI17" i="10"/>
  <c r="AG99" i="6"/>
  <c r="AK17" i="10"/>
  <c r="AI99" i="6"/>
  <c r="AM17" i="10"/>
  <c r="AN17" i="10"/>
  <c r="Z99" i="6"/>
  <c r="AD17" i="10"/>
  <c r="AB99" i="6"/>
  <c r="AF17" i="10"/>
  <c r="AG17" i="10"/>
  <c r="S99" i="6"/>
  <c r="W17" i="10"/>
  <c r="U99" i="6"/>
  <c r="Y17" i="10"/>
  <c r="W99" i="6"/>
  <c r="AA17" i="10"/>
  <c r="AB17" i="10"/>
  <c r="L99" i="6"/>
  <c r="P17" i="10"/>
  <c r="N99" i="6"/>
  <c r="R17" i="10"/>
  <c r="P99" i="6"/>
  <c r="T17" i="10"/>
  <c r="U17" i="10"/>
  <c r="E99" i="6"/>
  <c r="I17" i="10"/>
  <c r="G99" i="6"/>
  <c r="K17" i="10"/>
  <c r="I99" i="6"/>
  <c r="M17" i="10"/>
  <c r="N17" i="10"/>
  <c r="AY17" i="10"/>
  <c r="BP87" i="6"/>
  <c r="BP88" i="6"/>
  <c r="BP89" i="6"/>
  <c r="BP90" i="6"/>
  <c r="BP93" i="6"/>
  <c r="BP94" i="6"/>
  <c r="BP95" i="6"/>
  <c r="BP96" i="6"/>
  <c r="BP97" i="6"/>
  <c r="BP98" i="6"/>
  <c r="BP99" i="6"/>
  <c r="AV99" i="6"/>
  <c r="AT87" i="6"/>
  <c r="AQ87" i="6"/>
  <c r="AJ87" i="6"/>
  <c r="AC87" i="6"/>
  <c r="X87" i="6"/>
  <c r="Q87" i="6"/>
  <c r="J87" i="6"/>
  <c r="AU87" i="6"/>
  <c r="AT88" i="6"/>
  <c r="AQ88" i="6"/>
  <c r="AJ88" i="6"/>
  <c r="AC88" i="6"/>
  <c r="X88" i="6"/>
  <c r="Q88" i="6"/>
  <c r="J88" i="6"/>
  <c r="AU88" i="6"/>
  <c r="AU89" i="6"/>
  <c r="AT90" i="6"/>
  <c r="AQ90" i="6"/>
  <c r="AJ90" i="6"/>
  <c r="AC90" i="6"/>
  <c r="X90" i="6"/>
  <c r="Q90" i="6"/>
  <c r="J90" i="6"/>
  <c r="AU90" i="6"/>
  <c r="AT93" i="6"/>
  <c r="AQ93" i="6"/>
  <c r="AJ93" i="6"/>
  <c r="AC93" i="6"/>
  <c r="X93" i="6"/>
  <c r="Q93" i="6"/>
  <c r="J93" i="6"/>
  <c r="AU93" i="6"/>
  <c r="AT94" i="6"/>
  <c r="AQ94" i="6"/>
  <c r="AJ94" i="6"/>
  <c r="AC94" i="6"/>
  <c r="X94" i="6"/>
  <c r="Q94" i="6"/>
  <c r="J94" i="6"/>
  <c r="AU94" i="6"/>
  <c r="AU95" i="6"/>
  <c r="AT96" i="6"/>
  <c r="AQ96" i="6"/>
  <c r="AJ96" i="6"/>
  <c r="AC96" i="6"/>
  <c r="X96" i="6"/>
  <c r="Q96" i="6"/>
  <c r="J96" i="6"/>
  <c r="AU96" i="6"/>
  <c r="AT97" i="6"/>
  <c r="AQ97" i="6"/>
  <c r="AJ97" i="6"/>
  <c r="AC97" i="6"/>
  <c r="X97" i="6"/>
  <c r="Q97" i="6"/>
  <c r="J97" i="6"/>
  <c r="AU97" i="6"/>
  <c r="AU98" i="6"/>
  <c r="AU99" i="6"/>
  <c r="AV86" i="6"/>
  <c r="AZ17" i="10"/>
  <c r="BE99" i="6"/>
  <c r="BI17" i="10"/>
  <c r="BG99" i="6"/>
  <c r="BK17" i="10"/>
  <c r="BL17" i="10"/>
  <c r="AX99" i="6"/>
  <c r="BB17" i="10"/>
  <c r="AZ99" i="6"/>
  <c r="BD17" i="10"/>
  <c r="BB99" i="6"/>
  <c r="BF17" i="10"/>
  <c r="BG17" i="10"/>
  <c r="BM17" i="10"/>
  <c r="BK99" i="6"/>
  <c r="BO17" i="10"/>
  <c r="BM99" i="6"/>
  <c r="BQ17" i="10"/>
  <c r="BO99" i="6"/>
  <c r="BS17" i="10"/>
  <c r="BT17" i="10"/>
  <c r="BR99" i="6"/>
  <c r="BV17" i="10"/>
  <c r="BT99" i="6"/>
  <c r="BX17" i="10"/>
  <c r="BV99" i="6"/>
  <c r="BZ17" i="10"/>
  <c r="CA17" i="10"/>
  <c r="CB17" i="10"/>
  <c r="CD17" i="10"/>
  <c r="CE17" i="10"/>
  <c r="AT109" i="6"/>
  <c r="AQ109" i="6"/>
  <c r="AJ109" i="6"/>
  <c r="AC109" i="6"/>
  <c r="X109" i="6"/>
  <c r="Q109" i="6"/>
  <c r="J109" i="6"/>
  <c r="AU109" i="6"/>
  <c r="AT110" i="6"/>
  <c r="AQ110" i="6"/>
  <c r="AJ110" i="6"/>
  <c r="AC110" i="6"/>
  <c r="X110" i="6"/>
  <c r="Q110" i="6"/>
  <c r="J110" i="6"/>
  <c r="AU110" i="6"/>
  <c r="AU111" i="6"/>
  <c r="AT112" i="6"/>
  <c r="AQ112" i="6"/>
  <c r="AJ112" i="6"/>
  <c r="AC112" i="6"/>
  <c r="X112" i="6"/>
  <c r="Q112" i="6"/>
  <c r="J112" i="6"/>
  <c r="AU112" i="6"/>
  <c r="AT113" i="6"/>
  <c r="AQ113" i="6"/>
  <c r="AJ113" i="6"/>
  <c r="AC113" i="6"/>
  <c r="X113" i="6"/>
  <c r="Q113" i="6"/>
  <c r="J113" i="6"/>
  <c r="AU113" i="6"/>
  <c r="AT114" i="6"/>
  <c r="AQ114" i="6"/>
  <c r="AJ114" i="6"/>
  <c r="AC114" i="6"/>
  <c r="X114" i="6"/>
  <c r="Q114" i="6"/>
  <c r="J114" i="6"/>
  <c r="AU114" i="6"/>
  <c r="AT115" i="6"/>
  <c r="AQ115" i="6"/>
  <c r="AJ115" i="6"/>
  <c r="AC115" i="6"/>
  <c r="X115" i="6"/>
  <c r="Q115" i="6"/>
  <c r="J115" i="6"/>
  <c r="AU115" i="6"/>
  <c r="AU116" i="6"/>
  <c r="AT117" i="6"/>
  <c r="AQ117" i="6"/>
  <c r="AJ117" i="6"/>
  <c r="AC117" i="6"/>
  <c r="X117" i="6"/>
  <c r="Q117" i="6"/>
  <c r="J117" i="6"/>
  <c r="AU117" i="6"/>
  <c r="AT118" i="6"/>
  <c r="AQ118" i="6"/>
  <c r="AJ118" i="6"/>
  <c r="AC118" i="6"/>
  <c r="X118" i="6"/>
  <c r="Q118" i="6"/>
  <c r="J118" i="6"/>
  <c r="AU118" i="6"/>
  <c r="AT119" i="6"/>
  <c r="AQ119" i="6"/>
  <c r="AC119" i="6"/>
  <c r="X119" i="6"/>
  <c r="Q119" i="6"/>
  <c r="J119" i="6"/>
  <c r="AU119" i="6"/>
  <c r="AU120" i="6"/>
  <c r="AT121" i="6"/>
  <c r="AQ121" i="6"/>
  <c r="AC121" i="6"/>
  <c r="X121" i="6"/>
  <c r="Q121" i="6"/>
  <c r="J121" i="6"/>
  <c r="AU121" i="6"/>
  <c r="AT122" i="6"/>
  <c r="AQ122" i="6"/>
  <c r="AC122" i="6"/>
  <c r="Q122" i="6"/>
  <c r="J122" i="6"/>
  <c r="AU122" i="6"/>
  <c r="AT123" i="6"/>
  <c r="AQ123" i="6"/>
  <c r="AC123" i="6"/>
  <c r="Q123" i="6"/>
  <c r="J123" i="6"/>
  <c r="AU123" i="6"/>
  <c r="AT124" i="6"/>
  <c r="AQ124" i="6"/>
  <c r="AC124" i="6"/>
  <c r="AU124" i="6"/>
  <c r="AU125" i="6"/>
  <c r="AU126" i="6"/>
  <c r="AV108" i="6"/>
  <c r="AZ20" i="10"/>
  <c r="CB20" i="10"/>
  <c r="CD20" i="10"/>
  <c r="CE20" i="10"/>
  <c r="F249" i="4"/>
  <c r="CC24" i="10"/>
  <c r="CD24" i="10"/>
  <c r="CE24" i="10"/>
  <c r="CE36" i="10"/>
  <c r="CE43" i="10"/>
  <c r="CG43" i="10"/>
  <c r="CE47" i="10"/>
  <c r="CG47" i="10"/>
  <c r="CI7" i="10"/>
  <c r="CK7" i="10"/>
  <c r="CL7" i="10"/>
  <c r="CI8" i="10"/>
  <c r="CK8" i="10"/>
  <c r="CL8" i="10"/>
  <c r="CL9" i="10"/>
  <c r="CL10" i="10"/>
  <c r="CI11" i="10"/>
  <c r="CK11" i="10"/>
  <c r="CL11" i="10"/>
  <c r="CI12" i="10"/>
  <c r="CK12" i="10"/>
  <c r="CL12" i="10"/>
  <c r="CI13" i="10"/>
  <c r="CK13" i="10"/>
  <c r="CL13" i="10"/>
  <c r="CI14" i="10"/>
  <c r="CK14" i="10"/>
  <c r="CL14" i="10"/>
  <c r="CI15" i="10"/>
  <c r="CK15" i="10"/>
  <c r="CL15" i="10"/>
  <c r="CL16" i="10"/>
  <c r="CI17" i="10"/>
  <c r="CK17" i="10"/>
  <c r="CL17" i="10"/>
  <c r="CL20" i="10"/>
  <c r="CL24" i="10"/>
  <c r="CL36" i="10"/>
  <c r="CL38" i="10"/>
  <c r="CK40" i="10"/>
  <c r="CG7" i="10"/>
  <c r="CG8" i="10"/>
  <c r="CG9" i="10"/>
  <c r="CG10" i="10"/>
  <c r="CG11" i="10"/>
  <c r="CG12" i="10"/>
  <c r="CG13" i="10"/>
  <c r="CG14" i="10"/>
  <c r="CG15" i="10"/>
  <c r="CG16" i="10"/>
  <c r="CG17" i="10"/>
  <c r="CG20" i="10"/>
  <c r="CG24" i="10"/>
  <c r="CG36" i="10"/>
  <c r="CO37" i="10"/>
  <c r="CK36" i="10"/>
  <c r="CL40" i="10"/>
  <c r="CK38" i="10"/>
  <c r="CE38" i="10"/>
  <c r="CG38" i="10"/>
  <c r="CD36" i="10"/>
  <c r="CD38" i="10"/>
  <c r="CN40" i="10"/>
  <c r="CB36" i="10"/>
  <c r="CB38" i="10"/>
  <c r="BD121" i="6"/>
  <c r="BD120" i="6"/>
  <c r="BD119" i="6"/>
  <c r="BD118" i="6"/>
  <c r="BD117" i="6"/>
  <c r="BD116" i="6"/>
  <c r="BD115" i="6"/>
  <c r="BD114" i="6"/>
  <c r="BD113" i="6"/>
  <c r="BD112" i="6"/>
  <c r="BD111" i="6"/>
  <c r="BD110" i="6"/>
  <c r="BD109" i="6"/>
  <c r="BD108" i="6"/>
  <c r="BD107" i="6"/>
  <c r="BD106" i="6"/>
  <c r="BD105" i="6"/>
  <c r="BD104" i="6"/>
  <c r="BD103" i="6"/>
  <c r="BF123" i="6"/>
  <c r="BF122" i="6"/>
  <c r="BF121" i="6"/>
  <c r="BF120" i="6"/>
  <c r="BF119" i="6"/>
  <c r="BF118" i="6"/>
  <c r="BF117" i="6"/>
  <c r="BF116" i="6"/>
  <c r="BF115" i="6"/>
  <c r="BF114" i="6"/>
  <c r="BF113" i="6"/>
  <c r="BF112" i="6"/>
  <c r="BF111" i="6"/>
  <c r="BF110" i="6"/>
  <c r="BF109" i="6"/>
  <c r="BF108" i="6"/>
  <c r="BF107" i="6"/>
  <c r="BF106" i="6"/>
  <c r="BF105" i="6"/>
  <c r="BF104" i="6"/>
  <c r="BF103" i="6"/>
  <c r="BH103" i="6"/>
  <c r="AW119" i="6"/>
  <c r="AW118" i="6"/>
  <c r="AW117" i="6"/>
  <c r="AW116" i="6"/>
  <c r="AW115" i="6"/>
  <c r="AW114" i="6"/>
  <c r="AW113" i="6"/>
  <c r="AW112" i="6"/>
  <c r="AW111" i="6"/>
  <c r="AW110" i="6"/>
  <c r="AW109" i="6"/>
  <c r="AW108" i="6"/>
  <c r="AW107" i="6"/>
  <c r="AW106" i="6"/>
  <c r="AW105" i="6"/>
  <c r="AW104" i="6"/>
  <c r="AW103" i="6"/>
  <c r="AY123" i="6"/>
  <c r="AY122" i="6"/>
  <c r="AY121" i="6"/>
  <c r="AY120" i="6"/>
  <c r="AY119" i="6"/>
  <c r="AY118" i="6"/>
  <c r="AY117" i="6"/>
  <c r="AY116" i="6"/>
  <c r="AY115" i="6"/>
  <c r="AY114" i="6"/>
  <c r="AY113" i="6"/>
  <c r="AY112" i="6"/>
  <c r="AY111" i="6"/>
  <c r="AY110" i="6"/>
  <c r="AY109" i="6"/>
  <c r="AY108" i="6"/>
  <c r="AY107" i="6"/>
  <c r="AY106" i="6"/>
  <c r="AY105" i="6"/>
  <c r="AY104" i="6"/>
  <c r="AY103" i="6"/>
  <c r="BA124" i="6"/>
  <c r="BA123" i="6"/>
  <c r="BA122" i="6"/>
  <c r="BA121" i="6"/>
  <c r="BA120" i="6"/>
  <c r="BA119" i="6"/>
  <c r="BA118" i="6"/>
  <c r="BA117" i="6"/>
  <c r="BA116" i="6"/>
  <c r="BA115" i="6"/>
  <c r="BA114" i="6"/>
  <c r="BA113" i="6"/>
  <c r="BA112" i="6"/>
  <c r="BA111" i="6"/>
  <c r="BA110" i="6"/>
  <c r="BA109" i="6"/>
  <c r="BA108" i="6"/>
  <c r="BA107" i="6"/>
  <c r="BA106" i="6"/>
  <c r="BA105" i="6"/>
  <c r="BA104" i="6"/>
  <c r="BA103" i="6"/>
  <c r="BC103" i="6"/>
  <c r="BI103" i="6"/>
  <c r="BH104" i="6"/>
  <c r="BC104" i="6"/>
  <c r="BI104" i="6"/>
  <c r="BH105" i="6"/>
  <c r="BC105" i="6"/>
  <c r="BI105" i="6"/>
  <c r="BH106" i="6"/>
  <c r="BC106" i="6"/>
  <c r="BI106" i="6"/>
  <c r="BI107" i="6"/>
  <c r="BD102" i="6"/>
  <c r="BD101" i="6"/>
  <c r="BD100" i="6"/>
  <c r="BD99" i="6"/>
  <c r="BD98" i="6"/>
  <c r="BD97" i="6"/>
  <c r="BD96" i="6"/>
  <c r="BD95" i="6"/>
  <c r="BD94" i="6"/>
  <c r="BD93" i="6"/>
  <c r="BD90" i="6"/>
  <c r="BD89" i="6"/>
  <c r="BD88" i="6"/>
  <c r="BD87" i="6"/>
  <c r="BF102" i="6"/>
  <c r="BF101" i="6"/>
  <c r="BF100" i="6"/>
  <c r="BF99" i="6"/>
  <c r="BF98" i="6"/>
  <c r="BF97" i="6"/>
  <c r="BF96" i="6"/>
  <c r="BF95" i="6"/>
  <c r="BF94" i="6"/>
  <c r="BF93" i="6"/>
  <c r="BF90" i="6"/>
  <c r="BF89" i="6"/>
  <c r="BF88" i="6"/>
  <c r="BF87" i="6"/>
  <c r="BH87" i="6"/>
  <c r="AW102" i="6"/>
  <c r="AW101" i="6"/>
  <c r="AW100" i="6"/>
  <c r="AW99" i="6"/>
  <c r="AW98" i="6"/>
  <c r="AW97" i="6"/>
  <c r="AW96" i="6"/>
  <c r="AW95" i="6"/>
  <c r="AW94" i="6"/>
  <c r="AW93" i="6"/>
  <c r="AW90" i="6"/>
  <c r="AW89" i="6"/>
  <c r="AW88" i="6"/>
  <c r="AW87" i="6"/>
  <c r="AY102" i="6"/>
  <c r="AY101" i="6"/>
  <c r="AY100" i="6"/>
  <c r="AY99" i="6"/>
  <c r="AY98" i="6"/>
  <c r="AY97" i="6"/>
  <c r="AY96" i="6"/>
  <c r="AY95" i="6"/>
  <c r="AY94" i="6"/>
  <c r="AY93" i="6"/>
  <c r="AY90" i="6"/>
  <c r="AY89" i="6"/>
  <c r="AY88" i="6"/>
  <c r="AY87" i="6"/>
  <c r="BA102" i="6"/>
  <c r="BA101" i="6"/>
  <c r="BA100" i="6"/>
  <c r="BA99" i="6"/>
  <c r="BA98" i="6"/>
  <c r="BA97" i="6"/>
  <c r="BA96" i="6"/>
  <c r="BA95" i="6"/>
  <c r="BA94" i="6"/>
  <c r="BA93" i="6"/>
  <c r="BA90" i="6"/>
  <c r="BA89" i="6"/>
  <c r="BA88" i="6"/>
  <c r="BA87" i="6"/>
  <c r="BC87" i="6"/>
  <c r="BI87" i="6"/>
  <c r="BH88" i="6"/>
  <c r="BC88" i="6"/>
  <c r="BI88" i="6"/>
  <c r="BI89" i="6"/>
  <c r="BH90" i="6"/>
  <c r="BC90" i="6"/>
  <c r="BI90" i="6"/>
  <c r="BH93" i="6"/>
  <c r="BC93" i="6"/>
  <c r="BI93" i="6"/>
  <c r="BH94" i="6"/>
  <c r="BC94" i="6"/>
  <c r="BI94" i="6"/>
  <c r="BI95" i="6"/>
  <c r="BH96" i="6"/>
  <c r="BC96" i="6"/>
  <c r="BI96" i="6"/>
  <c r="BH97" i="6"/>
  <c r="BC97" i="6"/>
  <c r="BI97" i="6"/>
  <c r="BI98" i="6"/>
  <c r="BI99" i="6"/>
  <c r="BD86" i="6"/>
  <c r="BD85" i="6"/>
  <c r="BD84" i="6"/>
  <c r="BF86" i="6"/>
  <c r="BF85" i="6"/>
  <c r="BF84" i="6"/>
  <c r="BH84" i="6"/>
  <c r="AW86" i="6"/>
  <c r="AW85" i="6"/>
  <c r="AW84" i="6"/>
  <c r="AY86" i="6"/>
  <c r="AY85" i="6"/>
  <c r="AY84" i="6"/>
  <c r="BA86" i="6"/>
  <c r="BA85" i="6"/>
  <c r="BA84" i="6"/>
  <c r="BC84" i="6"/>
  <c r="BI84" i="6"/>
  <c r="BI85" i="6"/>
  <c r="BD83" i="6"/>
  <c r="BD82" i="6"/>
  <c r="BD81" i="6"/>
  <c r="BD80" i="6"/>
  <c r="BD79" i="6"/>
  <c r="BD78" i="6"/>
  <c r="BD77" i="6"/>
  <c r="BD76" i="6"/>
  <c r="BD75" i="6"/>
  <c r="BD74" i="6"/>
  <c r="BD73" i="6"/>
  <c r="BD72" i="6"/>
  <c r="BD71" i="6"/>
  <c r="BD70" i="6"/>
  <c r="BD69" i="6"/>
  <c r="BD68" i="6"/>
  <c r="BD67" i="6"/>
  <c r="BD66" i="6"/>
  <c r="BD65" i="6"/>
  <c r="BF83" i="6"/>
  <c r="BF82" i="6"/>
  <c r="BF81" i="6"/>
  <c r="BF80" i="6"/>
  <c r="BF79" i="6"/>
  <c r="BF78" i="6"/>
  <c r="BF77" i="6"/>
  <c r="BF76" i="6"/>
  <c r="BF75" i="6"/>
  <c r="BF74" i="6"/>
  <c r="BF73" i="6"/>
  <c r="BF72" i="6"/>
  <c r="BF71" i="6"/>
  <c r="BF70" i="6"/>
  <c r="BF69" i="6"/>
  <c r="BF68" i="6"/>
  <c r="BF67" i="6"/>
  <c r="BF66" i="6"/>
  <c r="BF65" i="6"/>
  <c r="BH65" i="6"/>
  <c r="AW83" i="6"/>
  <c r="AW82" i="6"/>
  <c r="AW81" i="6"/>
  <c r="AW80" i="6"/>
  <c r="AW79" i="6"/>
  <c r="AW78" i="6"/>
  <c r="AW77" i="6"/>
  <c r="AW76" i="6"/>
  <c r="AW75" i="6"/>
  <c r="AW74" i="6"/>
  <c r="AW73" i="6"/>
  <c r="AW72" i="6"/>
  <c r="AW71" i="6"/>
  <c r="AW70" i="6"/>
  <c r="AW69" i="6"/>
  <c r="AW68" i="6"/>
  <c r="AW67" i="6"/>
  <c r="AW66" i="6"/>
  <c r="AW65" i="6"/>
  <c r="AY83" i="6"/>
  <c r="AY82" i="6"/>
  <c r="AY81" i="6"/>
  <c r="AY80" i="6"/>
  <c r="AY79" i="6"/>
  <c r="AY78" i="6"/>
  <c r="AY77" i="6"/>
  <c r="AY76" i="6"/>
  <c r="AY75" i="6"/>
  <c r="AY74" i="6"/>
  <c r="AY73" i="6"/>
  <c r="AY72" i="6"/>
  <c r="AY71" i="6"/>
  <c r="AY70" i="6"/>
  <c r="AY69" i="6"/>
  <c r="AY68" i="6"/>
  <c r="AY67" i="6"/>
  <c r="AY66" i="6"/>
  <c r="AY65" i="6"/>
  <c r="BA83" i="6"/>
  <c r="BA82" i="6"/>
  <c r="BA81" i="6"/>
  <c r="BA80" i="6"/>
  <c r="BA79" i="6"/>
  <c r="BA78" i="6"/>
  <c r="BA77" i="6"/>
  <c r="BA76" i="6"/>
  <c r="BA75" i="6"/>
  <c r="BA74" i="6"/>
  <c r="BA73" i="6"/>
  <c r="BA72" i="6"/>
  <c r="BA71" i="6"/>
  <c r="BA70" i="6"/>
  <c r="BA69" i="6"/>
  <c r="BA68" i="6"/>
  <c r="BA67" i="6"/>
  <c r="BA66" i="6"/>
  <c r="BA65" i="6"/>
  <c r="BC65" i="6"/>
  <c r="BI65" i="6"/>
  <c r="BH66" i="6"/>
  <c r="BC66" i="6"/>
  <c r="BI66" i="6"/>
  <c r="BH67" i="6"/>
  <c r="BC67" i="6"/>
  <c r="BI67" i="6"/>
  <c r="BH68" i="6"/>
  <c r="BC68" i="6"/>
  <c r="BI68" i="6"/>
  <c r="BH69" i="6"/>
  <c r="BC69" i="6"/>
  <c r="BI69" i="6"/>
  <c r="BI70" i="6"/>
  <c r="BH71" i="6"/>
  <c r="BC71" i="6"/>
  <c r="BI71" i="6"/>
  <c r="BH72" i="6"/>
  <c r="BC72" i="6"/>
  <c r="BI72" i="6"/>
  <c r="BH73" i="6"/>
  <c r="BC73" i="6"/>
  <c r="BI73" i="6"/>
  <c r="BI74" i="6"/>
  <c r="BH75" i="6"/>
  <c r="BC75" i="6"/>
  <c r="BI75" i="6"/>
  <c r="BH76" i="6"/>
  <c r="BC76" i="6"/>
  <c r="BI76" i="6"/>
  <c r="BI77" i="6"/>
  <c r="BH78" i="6"/>
  <c r="BC78" i="6"/>
  <c r="BI78" i="6"/>
  <c r="BH79" i="6"/>
  <c r="BC79" i="6"/>
  <c r="BI79" i="6"/>
  <c r="BI81" i="6"/>
  <c r="BI82" i="6"/>
  <c r="BD64" i="6"/>
  <c r="BD63" i="6"/>
  <c r="BD62" i="6"/>
  <c r="BD61" i="6"/>
  <c r="BD60" i="6"/>
  <c r="BD59" i="6"/>
  <c r="BF64" i="6"/>
  <c r="BF63" i="6"/>
  <c r="BF62" i="6"/>
  <c r="BF61" i="6"/>
  <c r="BF60" i="6"/>
  <c r="BF59" i="6"/>
  <c r="BH59" i="6"/>
  <c r="AW64" i="6"/>
  <c r="AW63" i="6"/>
  <c r="AW62" i="6"/>
  <c r="AW61" i="6"/>
  <c r="AW60" i="6"/>
  <c r="AW59" i="6"/>
  <c r="AY64" i="6"/>
  <c r="AY63" i="6"/>
  <c r="AY62" i="6"/>
  <c r="AY61" i="6"/>
  <c r="AY60" i="6"/>
  <c r="AY59" i="6"/>
  <c r="BA64" i="6"/>
  <c r="BA63" i="6"/>
  <c r="BA62" i="6"/>
  <c r="BA61" i="6"/>
  <c r="BA60" i="6"/>
  <c r="BA59" i="6"/>
  <c r="BC59" i="6"/>
  <c r="BI59" i="6"/>
  <c r="BH60" i="6"/>
  <c r="BC60" i="6"/>
  <c r="BI60" i="6"/>
  <c r="BH61" i="6"/>
  <c r="BC61" i="6"/>
  <c r="BI61" i="6"/>
  <c r="BH62" i="6"/>
  <c r="BC62" i="6"/>
  <c r="BI62" i="6"/>
  <c r="BI63" i="6"/>
  <c r="BD58" i="6"/>
  <c r="BD57" i="6"/>
  <c r="BD56" i="6"/>
  <c r="BD55" i="6"/>
  <c r="BD54" i="6"/>
  <c r="BD53" i="6"/>
  <c r="BD52" i="6"/>
  <c r="BD51" i="6"/>
  <c r="BD50" i="6"/>
  <c r="BD49" i="6"/>
  <c r="BF58" i="6"/>
  <c r="BF57" i="6"/>
  <c r="BF56" i="6"/>
  <c r="BF55" i="6"/>
  <c r="BF54" i="6"/>
  <c r="BF53" i="6"/>
  <c r="BF52" i="6"/>
  <c r="BF51" i="6"/>
  <c r="BF50" i="6"/>
  <c r="BF49" i="6"/>
  <c r="BH49" i="6"/>
  <c r="AW58" i="6"/>
  <c r="AW57" i="6"/>
  <c r="AW56" i="6"/>
  <c r="AW55" i="6"/>
  <c r="AW54" i="6"/>
  <c r="AW53" i="6"/>
  <c r="AW52" i="6"/>
  <c r="AW51" i="6"/>
  <c r="AW50" i="6"/>
  <c r="AW49" i="6"/>
  <c r="AY58" i="6"/>
  <c r="AY57" i="6"/>
  <c r="AY56" i="6"/>
  <c r="AY55" i="6"/>
  <c r="AY54" i="6"/>
  <c r="AY53" i="6"/>
  <c r="AY52" i="6"/>
  <c r="AY51" i="6"/>
  <c r="AY50" i="6"/>
  <c r="AY49" i="6"/>
  <c r="BA58" i="6"/>
  <c r="BA57" i="6"/>
  <c r="BA56" i="6"/>
  <c r="BA55" i="6"/>
  <c r="BA54" i="6"/>
  <c r="BA53" i="6"/>
  <c r="BA52" i="6"/>
  <c r="BA51" i="6"/>
  <c r="BA50" i="6"/>
  <c r="BA49" i="6"/>
  <c r="BC49" i="6"/>
  <c r="BI49" i="6"/>
  <c r="BH50" i="6"/>
  <c r="BC50" i="6"/>
  <c r="BI50" i="6"/>
  <c r="BH51" i="6"/>
  <c r="BC51" i="6"/>
  <c r="BI51" i="6"/>
  <c r="BI52" i="6"/>
  <c r="BH53" i="6"/>
  <c r="BC53" i="6"/>
  <c r="BI53" i="6"/>
  <c r="BH54" i="6"/>
  <c r="BC54" i="6"/>
  <c r="BI54" i="6"/>
  <c r="BH55" i="6"/>
  <c r="BC55" i="6"/>
  <c r="BI55" i="6"/>
  <c r="BI56" i="6"/>
  <c r="BI57" i="6"/>
  <c r="BD48" i="6"/>
  <c r="BD47" i="6"/>
  <c r="BD46" i="6"/>
  <c r="BD45" i="6"/>
  <c r="BD44" i="6"/>
  <c r="BD43" i="6"/>
  <c r="BD42" i="6"/>
  <c r="BD41" i="6"/>
  <c r="BD40" i="6"/>
  <c r="BF48" i="6"/>
  <c r="BF47" i="6"/>
  <c r="BF46" i="6"/>
  <c r="BF45" i="6"/>
  <c r="BF44" i="6"/>
  <c r="BF43" i="6"/>
  <c r="BF42" i="6"/>
  <c r="BF41" i="6"/>
  <c r="BF40" i="6"/>
  <c r="BH40" i="6"/>
  <c r="AW48" i="6"/>
  <c r="AW47" i="6"/>
  <c r="AW46" i="6"/>
  <c r="AW45" i="6"/>
  <c r="AW44" i="6"/>
  <c r="AW43" i="6"/>
  <c r="AW42" i="6"/>
  <c r="AW41" i="6"/>
  <c r="AW40" i="6"/>
  <c r="AY48" i="6"/>
  <c r="AY47" i="6"/>
  <c r="AY46" i="6"/>
  <c r="AY45" i="6"/>
  <c r="AY44" i="6"/>
  <c r="AY43" i="6"/>
  <c r="AY42" i="6"/>
  <c r="AY41" i="6"/>
  <c r="AY40" i="6"/>
  <c r="BA48" i="6"/>
  <c r="BA47" i="6"/>
  <c r="BA46" i="6"/>
  <c r="BA45" i="6"/>
  <c r="BA44" i="6"/>
  <c r="BA43" i="6"/>
  <c r="BA42" i="6"/>
  <c r="BA41" i="6"/>
  <c r="BA40" i="6"/>
  <c r="BC40" i="6"/>
  <c r="BI40" i="6"/>
  <c r="BH41" i="6"/>
  <c r="BC41" i="6"/>
  <c r="BI41" i="6"/>
  <c r="BI42" i="6"/>
  <c r="BH43" i="6"/>
  <c r="BC43" i="6"/>
  <c r="BI43" i="6"/>
  <c r="BH44" i="6"/>
  <c r="BC44" i="6"/>
  <c r="BI44" i="6"/>
  <c r="BH45" i="6"/>
  <c r="BC45" i="6"/>
  <c r="BI45" i="6"/>
  <c r="BI46" i="6"/>
  <c r="BI47" i="6"/>
  <c r="BD39" i="6"/>
  <c r="BD38" i="6"/>
  <c r="BD37" i="6"/>
  <c r="BD36" i="6"/>
  <c r="BD35" i="6"/>
  <c r="BD34" i="6"/>
  <c r="BD33" i="6"/>
  <c r="BD32" i="6"/>
  <c r="BD31" i="6"/>
  <c r="BD30" i="6"/>
  <c r="BD29" i="6"/>
  <c r="BD28" i="6"/>
  <c r="BD27" i="6"/>
  <c r="BD26" i="6"/>
  <c r="BD25" i="6"/>
  <c r="BF39" i="6"/>
  <c r="BF38" i="6"/>
  <c r="BF37" i="6"/>
  <c r="BF36" i="6"/>
  <c r="BF35" i="6"/>
  <c r="BF34" i="6"/>
  <c r="BF33" i="6"/>
  <c r="BF32" i="6"/>
  <c r="BF31" i="6"/>
  <c r="BF30" i="6"/>
  <c r="BF29" i="6"/>
  <c r="BF28" i="6"/>
  <c r="BF27" i="6"/>
  <c r="BF26" i="6"/>
  <c r="BF25" i="6"/>
  <c r="BH25" i="6"/>
  <c r="AW39" i="6"/>
  <c r="AW38" i="6"/>
  <c r="AW37" i="6"/>
  <c r="AW36" i="6"/>
  <c r="AW35" i="6"/>
  <c r="AW34" i="6"/>
  <c r="AW33" i="6"/>
  <c r="AW32" i="6"/>
  <c r="AW31" i="6"/>
  <c r="AW30" i="6"/>
  <c r="AW29" i="6"/>
  <c r="AW28" i="6"/>
  <c r="AW27" i="6"/>
  <c r="AW26" i="6"/>
  <c r="AW25" i="6"/>
  <c r="AY39" i="6"/>
  <c r="AY38" i="6"/>
  <c r="AY37" i="6"/>
  <c r="AY36" i="6"/>
  <c r="AY35" i="6"/>
  <c r="AY34" i="6"/>
  <c r="AY33" i="6"/>
  <c r="AY32" i="6"/>
  <c r="AY31" i="6"/>
  <c r="AY30" i="6"/>
  <c r="AY29" i="6"/>
  <c r="AY28" i="6"/>
  <c r="AY27" i="6"/>
  <c r="AY26" i="6"/>
  <c r="AY25" i="6"/>
  <c r="BA39" i="6"/>
  <c r="BA38" i="6"/>
  <c r="BA37" i="6"/>
  <c r="BA36" i="6"/>
  <c r="BA35" i="6"/>
  <c r="BA34" i="6"/>
  <c r="BA33" i="6"/>
  <c r="BA32" i="6"/>
  <c r="BA31" i="6"/>
  <c r="BA30" i="6"/>
  <c r="BA29" i="6"/>
  <c r="BA28" i="6"/>
  <c r="BA27" i="6"/>
  <c r="BA26" i="6"/>
  <c r="BA25" i="6"/>
  <c r="BC25" i="6"/>
  <c r="BI25" i="6"/>
  <c r="BH26" i="6"/>
  <c r="BC26" i="6"/>
  <c r="BI26" i="6"/>
  <c r="BI27" i="6"/>
  <c r="BH28" i="6"/>
  <c r="BC28" i="6"/>
  <c r="BI28" i="6"/>
  <c r="BH29" i="6"/>
  <c r="BC29" i="6"/>
  <c r="BI29" i="6"/>
  <c r="BI30" i="6"/>
  <c r="BH31" i="6"/>
  <c r="BC31" i="6"/>
  <c r="BI31" i="6"/>
  <c r="BH32" i="6"/>
  <c r="BC32" i="6"/>
  <c r="BI32" i="6"/>
  <c r="BH33" i="6"/>
  <c r="BC33" i="6"/>
  <c r="BI33" i="6"/>
  <c r="BH34" i="6"/>
  <c r="BC34" i="6"/>
  <c r="BI34" i="6"/>
  <c r="BH35" i="6"/>
  <c r="BC35" i="6"/>
  <c r="BI35" i="6"/>
  <c r="BI36" i="6"/>
  <c r="BI37" i="6"/>
  <c r="BD24" i="6"/>
  <c r="BD23" i="6"/>
  <c r="BD22" i="6"/>
  <c r="BF24" i="6"/>
  <c r="BF23" i="6"/>
  <c r="BF22" i="6"/>
  <c r="BH22" i="6"/>
  <c r="AW24" i="6"/>
  <c r="AW23" i="6"/>
  <c r="AW22" i="6"/>
  <c r="AY24" i="6"/>
  <c r="AY23" i="6"/>
  <c r="AY22" i="6"/>
  <c r="BA24" i="6"/>
  <c r="BA23" i="6"/>
  <c r="BA22" i="6"/>
  <c r="BC22" i="6"/>
  <c r="BI22" i="6"/>
  <c r="BI23" i="6"/>
  <c r="BD21" i="6"/>
  <c r="BD20" i="6"/>
  <c r="BD19" i="6"/>
  <c r="BD18" i="6"/>
  <c r="BD17" i="6"/>
  <c r="BD16" i="6"/>
  <c r="BF21" i="6"/>
  <c r="BF20" i="6"/>
  <c r="BF19" i="6"/>
  <c r="BF18" i="6"/>
  <c r="BF17" i="6"/>
  <c r="BF16" i="6"/>
  <c r="BH16" i="6"/>
  <c r="AW21" i="6"/>
  <c r="AW20" i="6"/>
  <c r="AW19" i="6"/>
  <c r="AW18" i="6"/>
  <c r="AW17" i="6"/>
  <c r="AW16" i="6"/>
  <c r="AY21" i="6"/>
  <c r="AY20" i="6"/>
  <c r="AY19" i="6"/>
  <c r="AY18" i="6"/>
  <c r="AY17" i="6"/>
  <c r="AY16" i="6"/>
  <c r="BA21" i="6"/>
  <c r="BA20" i="6"/>
  <c r="BA19" i="6"/>
  <c r="BA18" i="6"/>
  <c r="BA17" i="6"/>
  <c r="BA16" i="6"/>
  <c r="BC16" i="6"/>
  <c r="BI16" i="6"/>
  <c r="BD15" i="6"/>
  <c r="BF15" i="6"/>
  <c r="BH15" i="6"/>
  <c r="AW15" i="6"/>
  <c r="AY15" i="6"/>
  <c r="BA15" i="6"/>
  <c r="BC15" i="6"/>
  <c r="BI15" i="6"/>
  <c r="BI17" i="6"/>
  <c r="BI18" i="6"/>
  <c r="BD14" i="6"/>
  <c r="BD13" i="6"/>
  <c r="BD12" i="6"/>
  <c r="BD11" i="6"/>
  <c r="BD10" i="6"/>
  <c r="BD9" i="6"/>
  <c r="BD8" i="6"/>
  <c r="BF14" i="6"/>
  <c r="BF13" i="6"/>
  <c r="BF12" i="6"/>
  <c r="BF11" i="6"/>
  <c r="BF10" i="6"/>
  <c r="BF9" i="6"/>
  <c r="BF8" i="6"/>
  <c r="BH8" i="6"/>
  <c r="AW14" i="6"/>
  <c r="AW13" i="6"/>
  <c r="AW12" i="6"/>
  <c r="AW11" i="6"/>
  <c r="AW10" i="6"/>
  <c r="AW9" i="6"/>
  <c r="AW8" i="6"/>
  <c r="AY14" i="6"/>
  <c r="AY13" i="6"/>
  <c r="AY12" i="6"/>
  <c r="AY11" i="6"/>
  <c r="AY10" i="6"/>
  <c r="AY9" i="6"/>
  <c r="AY8" i="6"/>
  <c r="BA14" i="6"/>
  <c r="BA13" i="6"/>
  <c r="BA12" i="6"/>
  <c r="BA11" i="6"/>
  <c r="BA10" i="6"/>
  <c r="BA9" i="6"/>
  <c r="BA8" i="6"/>
  <c r="BC8" i="6"/>
  <c r="BI8" i="6"/>
  <c r="BH9" i="6"/>
  <c r="BC9" i="6"/>
  <c r="BI9" i="6"/>
  <c r="BH10" i="6"/>
  <c r="BC10" i="6"/>
  <c r="BI10" i="6"/>
  <c r="BH11" i="6"/>
  <c r="BC11" i="6"/>
  <c r="BI11" i="6"/>
  <c r="BI12" i="6"/>
  <c r="BI13" i="6"/>
  <c r="BI306" i="6"/>
  <c r="AZ36" i="10"/>
  <c r="AZ38" i="10"/>
  <c r="X103" i="6"/>
  <c r="X104" i="6"/>
  <c r="X105" i="6"/>
  <c r="X106" i="6"/>
  <c r="X107" i="6"/>
  <c r="X89" i="6"/>
  <c r="X95" i="6"/>
  <c r="X98" i="6"/>
  <c r="X99" i="6"/>
  <c r="X85" i="6"/>
  <c r="X70" i="6"/>
  <c r="X74" i="6"/>
  <c r="X77" i="6"/>
  <c r="X81" i="6"/>
  <c r="X82" i="6"/>
  <c r="X63" i="6"/>
  <c r="X52" i="6"/>
  <c r="X56" i="6"/>
  <c r="X57" i="6"/>
  <c r="X42" i="6"/>
  <c r="X46" i="6"/>
  <c r="X47" i="6"/>
  <c r="X27" i="6"/>
  <c r="X30" i="6"/>
  <c r="X36" i="6"/>
  <c r="X37" i="6"/>
  <c r="X23" i="6"/>
  <c r="X17" i="6"/>
  <c r="X18" i="6"/>
  <c r="X12" i="6"/>
  <c r="X13" i="6"/>
  <c r="X306" i="6"/>
  <c r="BP103" i="6"/>
  <c r="BP104" i="6"/>
  <c r="BP105" i="6"/>
  <c r="BP106" i="6"/>
  <c r="BP107" i="6"/>
  <c r="BP84" i="6"/>
  <c r="BP85" i="6"/>
  <c r="BJ64" i="6"/>
  <c r="BJ63" i="6"/>
  <c r="BJ62" i="6"/>
  <c r="BJ61" i="6"/>
  <c r="BJ60" i="6"/>
  <c r="BJ59" i="6"/>
  <c r="BL64" i="6"/>
  <c r="BL63" i="6"/>
  <c r="BL62" i="6"/>
  <c r="BL61" i="6"/>
  <c r="BL60" i="6"/>
  <c r="BL59" i="6"/>
  <c r="BN64" i="6"/>
  <c r="BN63" i="6"/>
  <c r="BN62" i="6"/>
  <c r="BN61" i="6"/>
  <c r="BN60" i="6"/>
  <c r="BN59" i="6"/>
  <c r="BP59" i="6"/>
  <c r="BP60" i="6"/>
  <c r="BP61" i="6"/>
  <c r="BP62" i="6"/>
  <c r="BP63" i="6"/>
  <c r="BJ58" i="6"/>
  <c r="BJ57" i="6"/>
  <c r="BJ56" i="6"/>
  <c r="BJ55" i="6"/>
  <c r="BJ54" i="6"/>
  <c r="BJ53" i="6"/>
  <c r="BJ52" i="6"/>
  <c r="BJ51" i="6"/>
  <c r="BJ50" i="6"/>
  <c r="BJ49" i="6"/>
  <c r="BL58" i="6"/>
  <c r="BL57" i="6"/>
  <c r="BL56" i="6"/>
  <c r="BL55" i="6"/>
  <c r="BL54" i="6"/>
  <c r="BL53" i="6"/>
  <c r="BL52" i="6"/>
  <c r="BL51" i="6"/>
  <c r="BL50" i="6"/>
  <c r="BL49" i="6"/>
  <c r="BN58" i="6"/>
  <c r="BN57" i="6"/>
  <c r="BN56" i="6"/>
  <c r="BN55" i="6"/>
  <c r="BN54" i="6"/>
  <c r="BN53" i="6"/>
  <c r="BN52" i="6"/>
  <c r="BN51" i="6"/>
  <c r="BN50" i="6"/>
  <c r="BN49" i="6"/>
  <c r="BP49" i="6"/>
  <c r="BP50" i="6"/>
  <c r="BP51" i="6"/>
  <c r="BP52" i="6"/>
  <c r="BP53" i="6"/>
  <c r="BP54" i="6"/>
  <c r="BP55" i="6"/>
  <c r="BP56" i="6"/>
  <c r="BP57" i="6"/>
  <c r="BJ48" i="6"/>
  <c r="BJ47" i="6"/>
  <c r="BJ46" i="6"/>
  <c r="BJ45" i="6"/>
  <c r="BJ44" i="6"/>
  <c r="BJ43" i="6"/>
  <c r="BJ42" i="6"/>
  <c r="BJ41" i="6"/>
  <c r="BJ40" i="6"/>
  <c r="BJ39" i="6"/>
  <c r="BL48" i="6"/>
  <c r="BL47" i="6"/>
  <c r="BL46" i="6"/>
  <c r="BL45" i="6"/>
  <c r="BL44" i="6"/>
  <c r="BL43" i="6"/>
  <c r="BL42" i="6"/>
  <c r="BL41" i="6"/>
  <c r="BL40" i="6"/>
  <c r="BL39" i="6"/>
  <c r="BN48" i="6"/>
  <c r="BN47" i="6"/>
  <c r="BN46" i="6"/>
  <c r="BN45" i="6"/>
  <c r="BN44" i="6"/>
  <c r="BN43" i="6"/>
  <c r="BN42" i="6"/>
  <c r="BN41" i="6"/>
  <c r="BN40" i="6"/>
  <c r="BN39" i="6"/>
  <c r="BP39" i="6"/>
  <c r="BP40" i="6"/>
  <c r="BP41" i="6"/>
  <c r="BP42" i="6"/>
  <c r="BP43" i="6"/>
  <c r="BP44" i="6"/>
  <c r="BP45" i="6"/>
  <c r="BP46" i="6"/>
  <c r="BP47" i="6"/>
  <c r="BJ38" i="6"/>
  <c r="BJ37" i="6"/>
  <c r="BJ36" i="6"/>
  <c r="BJ35" i="6"/>
  <c r="BJ34" i="6"/>
  <c r="BJ33" i="6"/>
  <c r="BJ32" i="6"/>
  <c r="BJ31" i="6"/>
  <c r="BJ30" i="6"/>
  <c r="BJ29" i="6"/>
  <c r="BJ28" i="6"/>
  <c r="BJ27" i="6"/>
  <c r="BJ26" i="6"/>
  <c r="BJ25" i="6"/>
  <c r="BL38" i="6"/>
  <c r="BL37" i="6"/>
  <c r="BL36" i="6"/>
  <c r="BL35" i="6"/>
  <c r="BL34" i="6"/>
  <c r="BL33" i="6"/>
  <c r="BL32" i="6"/>
  <c r="BL31" i="6"/>
  <c r="BL30" i="6"/>
  <c r="BL29" i="6"/>
  <c r="BL28" i="6"/>
  <c r="BL27" i="6"/>
  <c r="BL26" i="6"/>
  <c r="BL25" i="6"/>
  <c r="BN38" i="6"/>
  <c r="BN37" i="6"/>
  <c r="BN36" i="6"/>
  <c r="BN35" i="6"/>
  <c r="BN34" i="6"/>
  <c r="BN33" i="6"/>
  <c r="BN32" i="6"/>
  <c r="BN31" i="6"/>
  <c r="BN30" i="6"/>
  <c r="BN29" i="6"/>
  <c r="BN28" i="6"/>
  <c r="BN27" i="6"/>
  <c r="BN26" i="6"/>
  <c r="BN25" i="6"/>
  <c r="BP25" i="6"/>
  <c r="BP26" i="6"/>
  <c r="BP27" i="6"/>
  <c r="BP28" i="6"/>
  <c r="BP29" i="6"/>
  <c r="BP30" i="6"/>
  <c r="BP31" i="6"/>
  <c r="BP32" i="6"/>
  <c r="BP33" i="6"/>
  <c r="BP34" i="6"/>
  <c r="BP35" i="6"/>
  <c r="BP36" i="6"/>
  <c r="BP37" i="6"/>
  <c r="BJ24" i="6"/>
  <c r="BJ23" i="6"/>
  <c r="BJ22" i="6"/>
  <c r="BL24" i="6"/>
  <c r="BL23" i="6"/>
  <c r="BL22" i="6"/>
  <c r="BN24" i="6"/>
  <c r="BN23" i="6"/>
  <c r="BN22" i="6"/>
  <c r="BP22" i="6"/>
  <c r="BP23" i="6"/>
  <c r="BJ21" i="6"/>
  <c r="BJ20" i="6"/>
  <c r="BJ19" i="6"/>
  <c r="BJ18" i="6"/>
  <c r="BJ17" i="6"/>
  <c r="BJ16" i="6"/>
  <c r="BL21" i="6"/>
  <c r="BL20" i="6"/>
  <c r="BL19" i="6"/>
  <c r="BL18" i="6"/>
  <c r="BL17" i="6"/>
  <c r="BL16" i="6"/>
  <c r="BN21" i="6"/>
  <c r="BN20" i="6"/>
  <c r="BN19" i="6"/>
  <c r="BN18" i="6"/>
  <c r="BN17" i="6"/>
  <c r="BN16" i="6"/>
  <c r="BP16" i="6"/>
  <c r="BJ15" i="6"/>
  <c r="BL15" i="6"/>
  <c r="BN15" i="6"/>
  <c r="BP15" i="6"/>
  <c r="BP17" i="6"/>
  <c r="BP18" i="6"/>
  <c r="BJ14" i="6"/>
  <c r="BJ13" i="6"/>
  <c r="BJ12" i="6"/>
  <c r="BJ11" i="6"/>
  <c r="BJ10" i="6"/>
  <c r="BJ9" i="6"/>
  <c r="BJ8" i="6"/>
  <c r="BL14" i="6"/>
  <c r="BL13" i="6"/>
  <c r="BL12" i="6"/>
  <c r="BL11" i="6"/>
  <c r="BL10" i="6"/>
  <c r="BL9" i="6"/>
  <c r="BL8" i="6"/>
  <c r="BN14" i="6"/>
  <c r="BN13" i="6"/>
  <c r="BN12" i="6"/>
  <c r="BN11" i="6"/>
  <c r="BN10" i="6"/>
  <c r="BN9" i="6"/>
  <c r="BN8" i="6"/>
  <c r="BP8" i="6"/>
  <c r="BP9" i="6"/>
  <c r="BP10" i="6"/>
  <c r="BP11" i="6"/>
  <c r="BP12" i="6"/>
  <c r="BP13" i="6"/>
  <c r="BP306" i="6"/>
  <c r="AQ103" i="6"/>
  <c r="AQ104" i="6"/>
  <c r="AQ105" i="6"/>
  <c r="AQ106" i="6"/>
  <c r="AQ107" i="6"/>
  <c r="AQ89" i="6"/>
  <c r="AQ95" i="6"/>
  <c r="AQ98" i="6"/>
  <c r="AQ99" i="6"/>
  <c r="AQ85" i="6"/>
  <c r="AQ70" i="6"/>
  <c r="AQ74" i="6"/>
  <c r="AQ77" i="6"/>
  <c r="AQ81" i="6"/>
  <c r="AQ82" i="6"/>
  <c r="AQ63" i="6"/>
  <c r="AQ52" i="6"/>
  <c r="AQ56" i="6"/>
  <c r="AQ57" i="6"/>
  <c r="AQ42" i="6"/>
  <c r="AQ46" i="6"/>
  <c r="AQ47" i="6"/>
  <c r="AQ27" i="6"/>
  <c r="AQ30" i="6"/>
  <c r="AQ36" i="6"/>
  <c r="AQ37" i="6"/>
  <c r="AQ23" i="6"/>
  <c r="AQ17" i="6"/>
  <c r="AQ18" i="6"/>
  <c r="AQ12" i="6"/>
  <c r="AQ13" i="6"/>
  <c r="AQ306" i="6"/>
  <c r="BC107" i="6"/>
  <c r="BC89" i="6"/>
  <c r="BC95" i="6"/>
  <c r="BC98" i="6"/>
  <c r="BC99" i="6"/>
  <c r="BC85" i="6"/>
  <c r="BC70" i="6"/>
  <c r="BC74" i="6"/>
  <c r="BC77" i="6"/>
  <c r="BC81" i="6"/>
  <c r="BC82" i="6"/>
  <c r="BC63" i="6"/>
  <c r="BC52" i="6"/>
  <c r="BC56" i="6"/>
  <c r="BC57" i="6"/>
  <c r="BC39" i="6"/>
  <c r="BC42" i="6"/>
  <c r="BC46" i="6"/>
  <c r="BC47" i="6"/>
  <c r="BC27" i="6"/>
  <c r="BC30" i="6"/>
  <c r="BC36" i="6"/>
  <c r="BC37" i="6"/>
  <c r="BC23" i="6"/>
  <c r="BC17" i="6"/>
  <c r="BC18" i="6"/>
  <c r="BC12" i="6"/>
  <c r="BC13" i="6"/>
  <c r="BC306" i="6"/>
  <c r="BQ119" i="6"/>
  <c r="BQ118" i="6"/>
  <c r="BQ117" i="6"/>
  <c r="BQ116" i="6"/>
  <c r="BQ115" i="6"/>
  <c r="BQ114" i="6"/>
  <c r="BQ113" i="6"/>
  <c r="BQ112" i="6"/>
  <c r="BQ111" i="6"/>
  <c r="BQ110" i="6"/>
  <c r="BQ109" i="6"/>
  <c r="BQ108" i="6"/>
  <c r="BQ107" i="6"/>
  <c r="BQ106" i="6"/>
  <c r="BQ105" i="6"/>
  <c r="BQ104" i="6"/>
  <c r="BQ103" i="6"/>
  <c r="BS122" i="6"/>
  <c r="BS121" i="6"/>
  <c r="BS120" i="6"/>
  <c r="BS119" i="6"/>
  <c r="BS118" i="6"/>
  <c r="BS117" i="6"/>
  <c r="BS116" i="6"/>
  <c r="BS115" i="6"/>
  <c r="BS114" i="6"/>
  <c r="BS113" i="6"/>
  <c r="BS112" i="6"/>
  <c r="BS111" i="6"/>
  <c r="BS110" i="6"/>
  <c r="BS109" i="6"/>
  <c r="BS108" i="6"/>
  <c r="BS107" i="6"/>
  <c r="BS106" i="6"/>
  <c r="BS105" i="6"/>
  <c r="BS104" i="6"/>
  <c r="BS103" i="6"/>
  <c r="BU124" i="6"/>
  <c r="BU123" i="6"/>
  <c r="BU122" i="6"/>
  <c r="BU121" i="6"/>
  <c r="BU120" i="6"/>
  <c r="BU119" i="6"/>
  <c r="BU118" i="6"/>
  <c r="BU117" i="6"/>
  <c r="BU116" i="6"/>
  <c r="BU115" i="6"/>
  <c r="BU114" i="6"/>
  <c r="BU113" i="6"/>
  <c r="BU112" i="6"/>
  <c r="BU111" i="6"/>
  <c r="BU110" i="6"/>
  <c r="BU109" i="6"/>
  <c r="BU108" i="6"/>
  <c r="BU107" i="6"/>
  <c r="BU106" i="6"/>
  <c r="BU105" i="6"/>
  <c r="BU104" i="6"/>
  <c r="BU103" i="6"/>
  <c r="BW103" i="6"/>
  <c r="BW104" i="6"/>
  <c r="BW105" i="6"/>
  <c r="BW106" i="6"/>
  <c r="BW107" i="6"/>
  <c r="BQ102" i="6"/>
  <c r="BQ101" i="6"/>
  <c r="BQ100" i="6"/>
  <c r="BQ99" i="6"/>
  <c r="BQ98" i="6"/>
  <c r="BQ97" i="6"/>
  <c r="BQ96" i="6"/>
  <c r="BQ95" i="6"/>
  <c r="BQ94" i="6"/>
  <c r="BQ93" i="6"/>
  <c r="BQ90" i="6"/>
  <c r="BQ89" i="6"/>
  <c r="BQ88" i="6"/>
  <c r="BQ87" i="6"/>
  <c r="BS102" i="6"/>
  <c r="BS101" i="6"/>
  <c r="BS100" i="6"/>
  <c r="BS99" i="6"/>
  <c r="BS98" i="6"/>
  <c r="BS97" i="6"/>
  <c r="BS96" i="6"/>
  <c r="BS95" i="6"/>
  <c r="BS94" i="6"/>
  <c r="BS93" i="6"/>
  <c r="BS90" i="6"/>
  <c r="BS89" i="6"/>
  <c r="BS88" i="6"/>
  <c r="BS87" i="6"/>
  <c r="BU102" i="6"/>
  <c r="BU101" i="6"/>
  <c r="BU100" i="6"/>
  <c r="BU99" i="6"/>
  <c r="BU98" i="6"/>
  <c r="BU97" i="6"/>
  <c r="BU96" i="6"/>
  <c r="BU95" i="6"/>
  <c r="BU94" i="6"/>
  <c r="BU93" i="6"/>
  <c r="BU90" i="6"/>
  <c r="BU89" i="6"/>
  <c r="BU88" i="6"/>
  <c r="BU87" i="6"/>
  <c r="BW87" i="6"/>
  <c r="BW88" i="6"/>
  <c r="BW89" i="6"/>
  <c r="BW90" i="6"/>
  <c r="BW93" i="6"/>
  <c r="BW94" i="6"/>
  <c r="BW95" i="6"/>
  <c r="BW96" i="6"/>
  <c r="BW97" i="6"/>
  <c r="BW98" i="6"/>
  <c r="BW99" i="6"/>
  <c r="BQ86" i="6"/>
  <c r="BQ85" i="6"/>
  <c r="BQ84" i="6"/>
  <c r="BS86" i="6"/>
  <c r="BS85" i="6"/>
  <c r="BS84" i="6"/>
  <c r="BU86" i="6"/>
  <c r="BU85" i="6"/>
  <c r="BU84" i="6"/>
  <c r="BW84" i="6"/>
  <c r="BW85" i="6"/>
  <c r="BQ83" i="6"/>
  <c r="BQ82" i="6"/>
  <c r="BQ81" i="6"/>
  <c r="BQ80" i="6"/>
  <c r="BQ79" i="6"/>
  <c r="BQ78" i="6"/>
  <c r="BQ77" i="6"/>
  <c r="BQ76" i="6"/>
  <c r="BQ75" i="6"/>
  <c r="BQ74" i="6"/>
  <c r="BQ73" i="6"/>
  <c r="BQ72" i="6"/>
  <c r="BQ71" i="6"/>
  <c r="BQ70" i="6"/>
  <c r="BQ69" i="6"/>
  <c r="BQ68" i="6"/>
  <c r="BQ67" i="6"/>
  <c r="BQ66" i="6"/>
  <c r="BQ65" i="6"/>
  <c r="BS83" i="6"/>
  <c r="BS82" i="6"/>
  <c r="BS81" i="6"/>
  <c r="BS80" i="6"/>
  <c r="BS79" i="6"/>
  <c r="BS78" i="6"/>
  <c r="BS77" i="6"/>
  <c r="BS76" i="6"/>
  <c r="BS75" i="6"/>
  <c r="BS74" i="6"/>
  <c r="BS73" i="6"/>
  <c r="BS72" i="6"/>
  <c r="BS71" i="6"/>
  <c r="BS70" i="6"/>
  <c r="BS69" i="6"/>
  <c r="BS68" i="6"/>
  <c r="BS67" i="6"/>
  <c r="BS66" i="6"/>
  <c r="BS65" i="6"/>
  <c r="BU83" i="6"/>
  <c r="BU82" i="6"/>
  <c r="BU81" i="6"/>
  <c r="BU80" i="6"/>
  <c r="BU79" i="6"/>
  <c r="BU78" i="6"/>
  <c r="BU77" i="6"/>
  <c r="BU76" i="6"/>
  <c r="BU75" i="6"/>
  <c r="BU74" i="6"/>
  <c r="BU73" i="6"/>
  <c r="BU72" i="6"/>
  <c r="BU71" i="6"/>
  <c r="BU70" i="6"/>
  <c r="BU69" i="6"/>
  <c r="BU68" i="6"/>
  <c r="BU67" i="6"/>
  <c r="BU66" i="6"/>
  <c r="BU65" i="6"/>
  <c r="BW65" i="6"/>
  <c r="BW66" i="6"/>
  <c r="BW67" i="6"/>
  <c r="BW68" i="6"/>
  <c r="BW69" i="6"/>
  <c r="BW70" i="6"/>
  <c r="BW71" i="6"/>
  <c r="BW72" i="6"/>
  <c r="BW73" i="6"/>
  <c r="BW74" i="6"/>
  <c r="BW75" i="6"/>
  <c r="BW76" i="6"/>
  <c r="BW77" i="6"/>
  <c r="BW78" i="6"/>
  <c r="BW79" i="6"/>
  <c r="BW81" i="6"/>
  <c r="BW82" i="6"/>
  <c r="BQ64" i="6"/>
  <c r="BQ63" i="6"/>
  <c r="BQ62" i="6"/>
  <c r="BQ61" i="6"/>
  <c r="BQ60" i="6"/>
  <c r="BQ59" i="6"/>
  <c r="BS64" i="6"/>
  <c r="BS63" i="6"/>
  <c r="BS62" i="6"/>
  <c r="BS61" i="6"/>
  <c r="BS60" i="6"/>
  <c r="BS59" i="6"/>
  <c r="BU64" i="6"/>
  <c r="BU63" i="6"/>
  <c r="BU62" i="6"/>
  <c r="BU61" i="6"/>
  <c r="BU60" i="6"/>
  <c r="BU59" i="6"/>
  <c r="BW59" i="6"/>
  <c r="BW60" i="6"/>
  <c r="BW61" i="6"/>
  <c r="BW62" i="6"/>
  <c r="BW63" i="6"/>
  <c r="BQ58" i="6"/>
  <c r="BQ57" i="6"/>
  <c r="BQ56" i="6"/>
  <c r="BQ55" i="6"/>
  <c r="BQ54" i="6"/>
  <c r="BQ53" i="6"/>
  <c r="BQ52" i="6"/>
  <c r="BQ51" i="6"/>
  <c r="BQ50" i="6"/>
  <c r="BQ49" i="6"/>
  <c r="BS58" i="6"/>
  <c r="BS57" i="6"/>
  <c r="BS56" i="6"/>
  <c r="BS55" i="6"/>
  <c r="BS54" i="6"/>
  <c r="BS53" i="6"/>
  <c r="BS52" i="6"/>
  <c r="BS51" i="6"/>
  <c r="BS50" i="6"/>
  <c r="BS49" i="6"/>
  <c r="BU58" i="6"/>
  <c r="BU57" i="6"/>
  <c r="BU56" i="6"/>
  <c r="BU55" i="6"/>
  <c r="BU54" i="6"/>
  <c r="BU53" i="6"/>
  <c r="BU52" i="6"/>
  <c r="BU51" i="6"/>
  <c r="BU50" i="6"/>
  <c r="BU49" i="6"/>
  <c r="BW49" i="6"/>
  <c r="BW50" i="6"/>
  <c r="BW51" i="6"/>
  <c r="BW52" i="6"/>
  <c r="BW53" i="6"/>
  <c r="BW54" i="6"/>
  <c r="BW55" i="6"/>
  <c r="BW56" i="6"/>
  <c r="BW57" i="6"/>
  <c r="BQ48" i="6"/>
  <c r="BQ47" i="6"/>
  <c r="BQ46" i="6"/>
  <c r="BQ45" i="6"/>
  <c r="BQ44" i="6"/>
  <c r="BQ43" i="6"/>
  <c r="BQ42" i="6"/>
  <c r="BQ41" i="6"/>
  <c r="BQ40" i="6"/>
  <c r="BQ39" i="6"/>
  <c r="BS48" i="6"/>
  <c r="BS47" i="6"/>
  <c r="BS46" i="6"/>
  <c r="BS45" i="6"/>
  <c r="BS44" i="6"/>
  <c r="BS43" i="6"/>
  <c r="BS42" i="6"/>
  <c r="BS41" i="6"/>
  <c r="BS40" i="6"/>
  <c r="BS39" i="6"/>
  <c r="BU48" i="6"/>
  <c r="BU47" i="6"/>
  <c r="BU46" i="6"/>
  <c r="BU45" i="6"/>
  <c r="BU44" i="6"/>
  <c r="BU43" i="6"/>
  <c r="BU42" i="6"/>
  <c r="BU41" i="6"/>
  <c r="BU40" i="6"/>
  <c r="BU39" i="6"/>
  <c r="BW39" i="6"/>
  <c r="BW40" i="6"/>
  <c r="BW41" i="6"/>
  <c r="BW42" i="6"/>
  <c r="BW43" i="6"/>
  <c r="BW44" i="6"/>
  <c r="BW45" i="6"/>
  <c r="BW46" i="6"/>
  <c r="BW47" i="6"/>
  <c r="BQ38" i="6"/>
  <c r="BQ37" i="6"/>
  <c r="BQ36" i="6"/>
  <c r="BQ35" i="6"/>
  <c r="BQ34" i="6"/>
  <c r="BQ33" i="6"/>
  <c r="BQ32" i="6"/>
  <c r="BQ31" i="6"/>
  <c r="BQ30" i="6"/>
  <c r="BQ29" i="6"/>
  <c r="BQ28" i="6"/>
  <c r="BQ27" i="6"/>
  <c r="BQ26" i="6"/>
  <c r="BQ25" i="6"/>
  <c r="BS38" i="6"/>
  <c r="BS37" i="6"/>
  <c r="BS36" i="6"/>
  <c r="BS35" i="6"/>
  <c r="BS34" i="6"/>
  <c r="BS33" i="6"/>
  <c r="BS32" i="6"/>
  <c r="BS31" i="6"/>
  <c r="BS30" i="6"/>
  <c r="BS29" i="6"/>
  <c r="BS28" i="6"/>
  <c r="BS27" i="6"/>
  <c r="BS26" i="6"/>
  <c r="BS25" i="6"/>
  <c r="BU38" i="6"/>
  <c r="BU37" i="6"/>
  <c r="BU36" i="6"/>
  <c r="BU35" i="6"/>
  <c r="BU34" i="6"/>
  <c r="BU33" i="6"/>
  <c r="BU32" i="6"/>
  <c r="BU31" i="6"/>
  <c r="BU30" i="6"/>
  <c r="BU29" i="6"/>
  <c r="BU28" i="6"/>
  <c r="BU27" i="6"/>
  <c r="BU26" i="6"/>
  <c r="BU25" i="6"/>
  <c r="BW25" i="6"/>
  <c r="BW26" i="6"/>
  <c r="BW27" i="6"/>
  <c r="BW28" i="6"/>
  <c r="BW29" i="6"/>
  <c r="BW30" i="6"/>
  <c r="BW31" i="6"/>
  <c r="BW32" i="6"/>
  <c r="BW33" i="6"/>
  <c r="BW34" i="6"/>
  <c r="BW35" i="6"/>
  <c r="BW36" i="6"/>
  <c r="BW37" i="6"/>
  <c r="BQ24" i="6"/>
  <c r="BQ23" i="6"/>
  <c r="BQ22" i="6"/>
  <c r="BS24" i="6"/>
  <c r="BS23" i="6"/>
  <c r="BS22" i="6"/>
  <c r="BU24" i="6"/>
  <c r="BU23" i="6"/>
  <c r="BU22" i="6"/>
  <c r="BW22" i="6"/>
  <c r="BW23" i="6"/>
  <c r="BQ21" i="6"/>
  <c r="BQ20" i="6"/>
  <c r="BQ19" i="6"/>
  <c r="BQ18" i="6"/>
  <c r="BQ17" i="6"/>
  <c r="BQ16" i="6"/>
  <c r="BS21" i="6"/>
  <c r="BS20" i="6"/>
  <c r="BS19" i="6"/>
  <c r="BS18" i="6"/>
  <c r="BS17" i="6"/>
  <c r="BS16" i="6"/>
  <c r="BU21" i="6"/>
  <c r="BU20" i="6"/>
  <c r="BU19" i="6"/>
  <c r="BU18" i="6"/>
  <c r="BU17" i="6"/>
  <c r="BU16" i="6"/>
  <c r="BW16" i="6"/>
  <c r="BQ15" i="6"/>
  <c r="BS15" i="6"/>
  <c r="BU15" i="6"/>
  <c r="BW15" i="6"/>
  <c r="BW17" i="6"/>
  <c r="BW18" i="6"/>
  <c r="BQ14" i="6"/>
  <c r="BQ13" i="6"/>
  <c r="BQ12" i="6"/>
  <c r="BQ11" i="6"/>
  <c r="BQ10" i="6"/>
  <c r="BQ9" i="6"/>
  <c r="BQ8" i="6"/>
  <c r="BS14" i="6"/>
  <c r="BS13" i="6"/>
  <c r="BS12" i="6"/>
  <c r="BS11" i="6"/>
  <c r="BS10" i="6"/>
  <c r="BS9" i="6"/>
  <c r="BS8" i="6"/>
  <c r="BU14" i="6"/>
  <c r="BU13" i="6"/>
  <c r="BU12" i="6"/>
  <c r="BU11" i="6"/>
  <c r="BU10" i="6"/>
  <c r="BU9" i="6"/>
  <c r="BU8" i="6"/>
  <c r="BW8" i="6"/>
  <c r="BW9" i="6"/>
  <c r="BW10" i="6"/>
  <c r="BW11" i="6"/>
  <c r="BW12" i="6"/>
  <c r="BW13" i="6"/>
  <c r="BW306" i="6"/>
  <c r="AJ103" i="6"/>
  <c r="AJ104" i="6"/>
  <c r="AJ105" i="6"/>
  <c r="AJ106" i="6"/>
  <c r="AJ107" i="6"/>
  <c r="AJ89" i="6"/>
  <c r="AJ95" i="6"/>
  <c r="AJ98" i="6"/>
  <c r="AJ99" i="6"/>
  <c r="AJ85" i="6"/>
  <c r="AJ70" i="6"/>
  <c r="AJ74" i="6"/>
  <c r="AJ77" i="6"/>
  <c r="AJ81" i="6"/>
  <c r="AJ82" i="6"/>
  <c r="AJ63" i="6"/>
  <c r="AJ52" i="6"/>
  <c r="AJ56" i="6"/>
  <c r="AJ57" i="6"/>
  <c r="AJ42" i="6"/>
  <c r="AJ46" i="6"/>
  <c r="AJ47" i="6"/>
  <c r="AJ27" i="6"/>
  <c r="AJ30" i="6"/>
  <c r="AJ36" i="6"/>
  <c r="AJ37" i="6"/>
  <c r="AJ23" i="6"/>
  <c r="AJ17" i="6"/>
  <c r="AJ18" i="6"/>
  <c r="AJ12" i="6"/>
  <c r="AJ13" i="6"/>
  <c r="AJ306" i="6"/>
  <c r="AC103" i="6"/>
  <c r="AC104" i="6"/>
  <c r="AC105" i="6"/>
  <c r="AC106" i="6"/>
  <c r="AC107" i="6"/>
  <c r="AC89" i="6"/>
  <c r="AC95" i="6"/>
  <c r="AC98" i="6"/>
  <c r="AC99" i="6"/>
  <c r="AC85" i="6"/>
  <c r="AC70" i="6"/>
  <c r="AC74" i="6"/>
  <c r="AC77" i="6"/>
  <c r="AC81" i="6"/>
  <c r="AC82" i="6"/>
  <c r="AC63" i="6"/>
  <c r="AC52" i="6"/>
  <c r="AC56" i="6"/>
  <c r="AC57" i="6"/>
  <c r="AC42" i="6"/>
  <c r="AC46" i="6"/>
  <c r="AC47" i="6"/>
  <c r="AC27" i="6"/>
  <c r="AC30" i="6"/>
  <c r="AC36" i="6"/>
  <c r="AC37" i="6"/>
  <c r="AC23" i="6"/>
  <c r="AC17" i="6"/>
  <c r="AC18" i="6"/>
  <c r="AC12" i="6"/>
  <c r="AC13" i="6"/>
  <c r="AC306" i="6"/>
  <c r="Q103" i="6"/>
  <c r="Q104" i="6"/>
  <c r="Q105" i="6"/>
  <c r="Q106" i="6"/>
  <c r="Q107" i="6"/>
  <c r="Q89" i="6"/>
  <c r="Q95" i="6"/>
  <c r="Q98" i="6"/>
  <c r="Q99" i="6"/>
  <c r="Q85" i="6"/>
  <c r="Q70" i="6"/>
  <c r="Q74" i="6"/>
  <c r="Q77" i="6"/>
  <c r="Q81" i="6"/>
  <c r="Q82" i="6"/>
  <c r="Q63" i="6"/>
  <c r="Q52" i="6"/>
  <c r="Q56" i="6"/>
  <c r="Q57" i="6"/>
  <c r="Q42" i="6"/>
  <c r="Q46" i="6"/>
  <c r="Q47" i="6"/>
  <c r="Q27" i="6"/>
  <c r="Q30" i="6"/>
  <c r="Q36" i="6"/>
  <c r="Q37" i="6"/>
  <c r="Q23" i="6"/>
  <c r="Q17" i="6"/>
  <c r="Q18" i="6"/>
  <c r="Q12" i="6"/>
  <c r="Q13" i="6"/>
  <c r="Q306" i="6"/>
  <c r="BH107" i="6"/>
  <c r="BH89" i="6"/>
  <c r="BH95" i="6"/>
  <c r="BH98" i="6"/>
  <c r="BH99" i="6"/>
  <c r="BH85" i="6"/>
  <c r="BH70" i="6"/>
  <c r="BH74" i="6"/>
  <c r="BH77" i="6"/>
  <c r="BH81" i="6"/>
  <c r="BH82" i="6"/>
  <c r="BH63" i="6"/>
  <c r="BH52" i="6"/>
  <c r="BH56" i="6"/>
  <c r="BH57" i="6"/>
  <c r="BH42" i="6"/>
  <c r="BH46" i="6"/>
  <c r="BH47" i="6"/>
  <c r="BH27" i="6"/>
  <c r="BH30" i="6"/>
  <c r="BH36" i="6"/>
  <c r="BH37" i="6"/>
  <c r="BH23" i="6"/>
  <c r="BH17" i="6"/>
  <c r="BH18" i="6"/>
  <c r="BH12" i="6"/>
  <c r="BH13" i="6"/>
  <c r="BH306" i="6"/>
  <c r="J111" i="6"/>
  <c r="J116" i="6"/>
  <c r="J120" i="6"/>
  <c r="J125" i="6"/>
  <c r="J126" i="6"/>
  <c r="J103" i="6"/>
  <c r="J104" i="6"/>
  <c r="J105" i="6"/>
  <c r="J106" i="6"/>
  <c r="J107" i="6"/>
  <c r="J89" i="6"/>
  <c r="J95" i="6"/>
  <c r="J98" i="6"/>
  <c r="J99" i="6"/>
  <c r="J85" i="6"/>
  <c r="J70" i="6"/>
  <c r="J74" i="6"/>
  <c r="J77" i="6"/>
  <c r="J81" i="6"/>
  <c r="J82" i="6"/>
  <c r="J63" i="6"/>
  <c r="J52" i="6"/>
  <c r="J56" i="6"/>
  <c r="J57" i="6"/>
  <c r="J42" i="6"/>
  <c r="J46" i="6"/>
  <c r="J47" i="6"/>
  <c r="J27" i="6"/>
  <c r="J30" i="6"/>
  <c r="J36" i="6"/>
  <c r="J37" i="6"/>
  <c r="J23" i="6"/>
  <c r="J17" i="6"/>
  <c r="J18" i="6"/>
  <c r="J12" i="6"/>
  <c r="J13" i="6"/>
  <c r="J306" i="6"/>
  <c r="AI36" i="10"/>
  <c r="AU36" i="10"/>
  <c r="AU38" i="10"/>
  <c r="AT36" i="10"/>
  <c r="AT38" i="10"/>
  <c r="AS38" i="10"/>
  <c r="AR36" i="10"/>
  <c r="AR38" i="10"/>
  <c r="AQ38" i="10"/>
  <c r="AP36" i="10"/>
  <c r="AP38" i="10"/>
  <c r="AO38" i="10"/>
  <c r="AD36" i="10"/>
  <c r="BY13" i="6"/>
  <c r="BX13" i="6"/>
  <c r="BG36" i="10"/>
  <c r="BB36" i="10"/>
  <c r="BT36" i="10"/>
  <c r="BO36" i="10"/>
  <c r="BI36" i="10"/>
  <c r="AT103" i="6"/>
  <c r="AT104" i="6"/>
  <c r="AT105" i="6"/>
  <c r="AT106" i="6"/>
  <c r="AT107" i="6"/>
  <c r="AT89" i="6"/>
  <c r="AT95" i="6"/>
  <c r="AT98" i="6"/>
  <c r="AT99" i="6"/>
  <c r="AT85" i="6"/>
  <c r="AT70" i="6"/>
  <c r="AT74" i="6"/>
  <c r="AT77" i="6"/>
  <c r="AT81" i="6"/>
  <c r="AT82" i="6"/>
  <c r="AT63" i="6"/>
  <c r="AT52" i="6"/>
  <c r="AT56" i="6"/>
  <c r="AT57" i="6"/>
  <c r="AT42" i="6"/>
  <c r="AT46" i="6"/>
  <c r="AT47" i="6"/>
  <c r="AT27" i="6"/>
  <c r="AT30" i="6"/>
  <c r="AT36" i="6"/>
  <c r="AT37" i="6"/>
  <c r="AT23" i="6"/>
  <c r="AT17" i="6"/>
  <c r="AT18" i="6"/>
  <c r="AT12" i="6"/>
  <c r="AT13" i="6"/>
  <c r="AT306" i="6"/>
  <c r="BM36" i="10"/>
  <c r="BM38" i="10"/>
  <c r="BL36" i="10"/>
  <c r="BL38" i="10"/>
  <c r="CA36" i="10"/>
  <c r="CA38" i="10"/>
  <c r="AY36" i="10"/>
  <c r="AY38" i="10"/>
  <c r="BO38" i="10"/>
  <c r="BI38" i="10"/>
  <c r="BX36" i="10"/>
  <c r="BX38" i="10"/>
  <c r="BF36" i="10"/>
  <c r="BF38" i="10"/>
  <c r="BS36" i="10"/>
  <c r="BS38" i="10"/>
  <c r="BT38" i="10"/>
  <c r="BG38" i="10"/>
  <c r="BK36" i="10"/>
  <c r="BK38" i="10"/>
  <c r="BB38" i="10"/>
  <c r="BQ36" i="10"/>
  <c r="BQ38" i="10"/>
  <c r="CC36" i="10"/>
  <c r="CC38" i="10"/>
  <c r="BV36" i="10"/>
  <c r="BV38" i="10"/>
  <c r="BZ36" i="10"/>
  <c r="BZ38" i="10"/>
  <c r="BD36" i="10"/>
  <c r="BD38" i="10"/>
  <c r="AW36" i="10"/>
  <c r="AW38" i="10"/>
  <c r="G7" i="10"/>
  <c r="G8" i="10"/>
  <c r="G11" i="10"/>
  <c r="G12" i="10"/>
  <c r="G13" i="10"/>
  <c r="G14" i="10"/>
  <c r="G15" i="10"/>
  <c r="G17" i="10"/>
  <c r="G36" i="10"/>
  <c r="G38" i="10"/>
  <c r="G41" i="10"/>
  <c r="AB36" i="10"/>
  <c r="AB38" i="10"/>
  <c r="AA36" i="10"/>
  <c r="AA38" i="10"/>
  <c r="Z38" i="10"/>
  <c r="Y36" i="10"/>
  <c r="Y38" i="10"/>
  <c r="X38" i="10"/>
  <c r="W36" i="10"/>
  <c r="W38" i="10"/>
  <c r="AX36" i="10"/>
  <c r="AX38" i="10"/>
  <c r="AN36" i="10"/>
  <c r="AN38" i="10"/>
  <c r="AM36" i="10"/>
  <c r="AM38" i="10"/>
  <c r="AL38" i="10"/>
  <c r="AK36" i="10"/>
  <c r="AK38" i="10"/>
  <c r="AJ38" i="10"/>
  <c r="AI38" i="10"/>
  <c r="AH38" i="10"/>
  <c r="AG36" i="10"/>
  <c r="AG38" i="10"/>
  <c r="E7" i="10"/>
  <c r="C7" i="10"/>
  <c r="E8" i="10"/>
  <c r="C8" i="10"/>
  <c r="E11" i="10"/>
  <c r="C11" i="10"/>
  <c r="E12" i="10"/>
  <c r="C12" i="10"/>
  <c r="E13" i="10"/>
  <c r="C13" i="10"/>
  <c r="E14" i="10"/>
  <c r="C14" i="10"/>
  <c r="E15" i="10"/>
  <c r="C15" i="10"/>
  <c r="E17" i="10"/>
  <c r="C17" i="10"/>
  <c r="C36" i="10"/>
  <c r="E36" i="10"/>
  <c r="N36" i="10"/>
  <c r="N38" i="10"/>
  <c r="M36" i="10"/>
  <c r="M38" i="10"/>
  <c r="L38" i="10"/>
  <c r="T36" i="10"/>
  <c r="H53" i="10"/>
  <c r="G53" i="10"/>
  <c r="F53" i="10"/>
  <c r="CI36" i="10"/>
  <c r="AD38" i="10"/>
  <c r="AC38" i="10"/>
  <c r="U36" i="10"/>
  <c r="U38" i="10"/>
  <c r="T38" i="10"/>
  <c r="S38" i="10"/>
  <c r="R36" i="10"/>
  <c r="R38" i="10"/>
  <c r="Q38" i="10"/>
  <c r="P36" i="10"/>
  <c r="P38" i="10"/>
  <c r="O38" i="10"/>
  <c r="K36" i="10"/>
  <c r="AF36" i="10"/>
  <c r="G50" i="10"/>
  <c r="H50" i="10"/>
  <c r="F50" i="10"/>
  <c r="K38" i="10"/>
  <c r="I36" i="10"/>
  <c r="G48" i="10"/>
  <c r="H48" i="10"/>
  <c r="F48" i="10"/>
  <c r="I38" i="10"/>
  <c r="AF38" i="10"/>
  <c r="AE38" i="10"/>
  <c r="G306" i="6"/>
  <c r="E306" i="6"/>
  <c r="L306" i="6"/>
  <c r="AE306" i="6"/>
  <c r="U306" i="6"/>
  <c r="S306" i="6"/>
  <c r="AG306" i="6"/>
  <c r="AN306" i="6"/>
  <c r="BM306" i="6"/>
  <c r="AV8" i="6"/>
  <c r="AQ14" i="6"/>
  <c r="BC14" i="6"/>
  <c r="AJ14" i="6"/>
  <c r="Q14" i="6"/>
  <c r="AT14" i="6"/>
  <c r="J14" i="6"/>
  <c r="X14" i="6"/>
  <c r="BH14" i="6"/>
  <c r="BW14" i="6"/>
  <c r="BP14" i="6"/>
  <c r="BI14" i="6"/>
  <c r="BY18" i="6"/>
  <c r="BX18" i="6"/>
  <c r="AF24" i="6"/>
  <c r="AF23" i="6"/>
  <c r="BY23" i="6"/>
  <c r="BX23" i="6"/>
  <c r="BX27" i="6"/>
  <c r="BX37" i="6"/>
  <c r="BH38" i="6"/>
  <c r="BI38" i="6"/>
  <c r="BX52" i="6"/>
  <c r="BX57" i="6"/>
  <c r="BX70" i="6"/>
  <c r="BX74" i="6"/>
  <c r="BX77" i="6"/>
  <c r="BX81" i="6"/>
  <c r="BX82" i="6"/>
  <c r="AC80" i="6"/>
  <c r="AT80" i="6"/>
  <c r="AQ80" i="6"/>
  <c r="AJ80" i="6"/>
  <c r="X80" i="6"/>
  <c r="Q80" i="6"/>
  <c r="J80" i="6"/>
  <c r="AU80" i="6"/>
  <c r="BC80" i="6"/>
  <c r="BW80" i="6"/>
  <c r="BH80" i="6"/>
  <c r="BP80" i="6"/>
  <c r="BI80" i="6"/>
  <c r="BX85" i="6"/>
  <c r="AV306" i="6"/>
  <c r="BQ91" i="6"/>
  <c r="BS91" i="6"/>
  <c r="BU91" i="6"/>
  <c r="BW91" i="6"/>
  <c r="BJ91" i="6"/>
  <c r="BL91" i="6"/>
  <c r="BP91" i="6"/>
  <c r="AR91" i="6"/>
  <c r="AT91" i="6"/>
  <c r="AK91" i="6"/>
  <c r="AM91" i="6"/>
  <c r="AO91" i="6"/>
  <c r="AQ91" i="6"/>
  <c r="AD91" i="6"/>
  <c r="AF91" i="6"/>
  <c r="AH91" i="6"/>
  <c r="AJ91" i="6"/>
  <c r="M91" i="6"/>
  <c r="O91" i="6"/>
  <c r="Q91" i="6"/>
  <c r="D91" i="6"/>
  <c r="F91" i="6"/>
  <c r="H91" i="6"/>
  <c r="J91" i="6"/>
  <c r="AU91" i="6"/>
  <c r="AU92" i="6"/>
  <c r="AM92" i="6"/>
  <c r="BZ99" i="6"/>
  <c r="BY99" i="6"/>
  <c r="BX99" i="6"/>
  <c r="BD91" i="6"/>
  <c r="BF91" i="6"/>
  <c r="BH91" i="6"/>
  <c r="BH92" i="6"/>
  <c r="D92" i="6"/>
  <c r="AH92" i="6"/>
  <c r="AW91" i="6"/>
  <c r="BI91" i="6"/>
  <c r="M92" i="6"/>
  <c r="J92" i="6"/>
  <c r="R92" i="6"/>
  <c r="Q92" i="6"/>
  <c r="AF92" i="6"/>
  <c r="AO92" i="6"/>
  <c r="AY91" i="6"/>
  <c r="F92" i="6"/>
  <c r="O92" i="6"/>
  <c r="BD92" i="6"/>
  <c r="BJ92" i="6"/>
  <c r="BI92" i="6"/>
  <c r="BS92" i="6"/>
  <c r="X120" i="6"/>
  <c r="BX92" i="6"/>
  <c r="AT92" i="6"/>
  <c r="R91" i="6"/>
  <c r="AW92" i="6"/>
  <c r="BA92" i="6"/>
  <c r="BQ92" i="6"/>
  <c r="BP92" i="6"/>
  <c r="BA91" i="6"/>
  <c r="H92" i="6"/>
  <c r="AD92" i="6"/>
  <c r="AC92" i="6"/>
  <c r="AK92" i="6"/>
  <c r="AJ92" i="6"/>
  <c r="AR92" i="6"/>
  <c r="AQ92" i="6"/>
  <c r="AY92" i="6"/>
  <c r="BF92" i="6"/>
  <c r="BL92" i="6"/>
  <c r="BU92" i="6"/>
  <c r="AC116" i="6"/>
  <c r="BW102" i="6"/>
  <c r="BH117" i="6"/>
  <c r="BC117" i="6"/>
  <c r="BI117" i="6"/>
  <c r="BH118" i="6"/>
  <c r="BC118" i="6"/>
  <c r="BI118" i="6"/>
  <c r="BH119" i="6"/>
  <c r="BC119" i="6"/>
  <c r="BI119" i="6"/>
  <c r="BI120" i="6"/>
  <c r="Q120" i="6"/>
  <c r="BX107" i="6"/>
  <c r="BX306" i="6"/>
  <c r="BP117" i="6"/>
  <c r="BP118" i="6"/>
  <c r="BP119" i="6"/>
  <c r="BP120" i="6"/>
  <c r="BV306" i="6"/>
  <c r="AP306" i="6"/>
  <c r="N306" i="6"/>
  <c r="Z306" i="6"/>
  <c r="BT306" i="6"/>
  <c r="AX306" i="6"/>
  <c r="AC120" i="6"/>
  <c r="BR306" i="6"/>
  <c r="AL306" i="6"/>
  <c r="BO306" i="6"/>
  <c r="AS306" i="6"/>
  <c r="BP122" i="6"/>
  <c r="AZ306" i="6"/>
  <c r="AB306" i="6"/>
  <c r="I306" i="6"/>
  <c r="BK306" i="6"/>
  <c r="AI306" i="6"/>
  <c r="BH122" i="6"/>
  <c r="BC122" i="6"/>
  <c r="BI122" i="6"/>
  <c r="AU103" i="6"/>
  <c r="AU104" i="6"/>
  <c r="AU105" i="6"/>
  <c r="AU106" i="6"/>
  <c r="AU107" i="6"/>
  <c r="W306" i="6"/>
  <c r="BG306" i="6"/>
  <c r="BW117" i="6"/>
  <c r="BW118" i="6"/>
  <c r="BW119" i="6"/>
  <c r="BW120" i="6"/>
  <c r="BB306" i="6"/>
  <c r="P306" i="6"/>
  <c r="BE306" i="6"/>
  <c r="AU306" i="6"/>
  <c r="Q125" i="6"/>
  <c r="X125" i="6"/>
  <c r="BW123" i="6"/>
  <c r="BW109" i="6"/>
  <c r="BW110" i="6"/>
  <c r="BW111" i="6"/>
  <c r="BH123" i="6"/>
  <c r="BC123" i="6"/>
  <c r="BI123" i="6"/>
  <c r="BH121" i="6"/>
  <c r="BC121" i="6"/>
  <c r="BI121" i="6"/>
  <c r="BC124" i="6"/>
  <c r="BI124" i="6"/>
  <c r="BI125" i="6"/>
  <c r="BP121" i="6"/>
  <c r="BP123" i="6"/>
  <c r="BP125" i="6"/>
  <c r="BW121" i="6"/>
  <c r="AQ125" i="6"/>
  <c r="BW124" i="6"/>
  <c r="BW112" i="6"/>
  <c r="BW113" i="6"/>
  <c r="BW114" i="6"/>
  <c r="BW115" i="6"/>
  <c r="BW116" i="6"/>
  <c r="BW122" i="6"/>
  <c r="AC125" i="6"/>
  <c r="BW125" i="6"/>
  <c r="BH115" i="6"/>
  <c r="AT116" i="6"/>
  <c r="BH125" i="6"/>
  <c r="BC109" i="6"/>
  <c r="BC110" i="6"/>
  <c r="BC113" i="6"/>
  <c r="X116" i="6"/>
  <c r="AT120" i="6"/>
  <c r="X111" i="6"/>
  <c r="AJ111" i="6"/>
  <c r="BC111" i="6"/>
  <c r="BH114" i="6"/>
  <c r="BP115" i="6"/>
  <c r="BC115" i="6"/>
  <c r="BI115" i="6"/>
  <c r="AQ116" i="6"/>
  <c r="BC112" i="6"/>
  <c r="BC114" i="6"/>
  <c r="BC116" i="6"/>
  <c r="BH112" i="6"/>
  <c r="BI112" i="6"/>
  <c r="BH113" i="6"/>
  <c r="BH116" i="6"/>
  <c r="Q116" i="6"/>
  <c r="AJ116" i="6"/>
  <c r="AQ120" i="6"/>
  <c r="BC120" i="6"/>
  <c r="AJ120" i="6"/>
  <c r="BP109" i="6"/>
  <c r="BH110" i="6"/>
  <c r="Q111" i="6"/>
  <c r="BH109" i="6"/>
  <c r="BI109" i="6"/>
  <c r="BH111" i="6"/>
  <c r="BP113" i="6"/>
  <c r="BI113" i="6"/>
  <c r="AT111" i="6"/>
  <c r="BP110" i="6"/>
  <c r="BI110" i="6"/>
  <c r="BP111" i="6"/>
  <c r="AC111" i="6"/>
  <c r="AQ111" i="6"/>
  <c r="BI111" i="6"/>
  <c r="BP112" i="6"/>
  <c r="BP114" i="6"/>
  <c r="BI114" i="6"/>
  <c r="BP116" i="6"/>
  <c r="BI116" i="6"/>
  <c r="BH120" i="6"/>
  <c r="AT125" i="6"/>
  <c r="BC125" i="6"/>
  <c r="Z264" i="2"/>
  <c r="AD264" i="2"/>
  <c r="AG264" i="2"/>
  <c r="Z265" i="2"/>
  <c r="AD265" i="2"/>
  <c r="AG265" i="2"/>
  <c r="Z267" i="2"/>
  <c r="AD267" i="2"/>
  <c r="AG267" i="2"/>
  <c r="AG260" i="2"/>
  <c r="AC264" i="2"/>
  <c r="AC265" i="2"/>
  <c r="AC267" i="2"/>
  <c r="AC260" i="2"/>
  <c r="BA149" i="2"/>
  <c r="BA143" i="2"/>
  <c r="AZ149" i="2"/>
  <c r="AZ143" i="2"/>
  <c r="Z83" i="2"/>
  <c r="AD83" i="2"/>
  <c r="AG83" i="2"/>
  <c r="Z84" i="2"/>
  <c r="AD84" i="2"/>
  <c r="AG84" i="2"/>
  <c r="AG80" i="2"/>
  <c r="AC83" i="2"/>
  <c r="AC84" i="2"/>
  <c r="AC80" i="2"/>
  <c r="Y154" i="2"/>
  <c r="Z154" i="2"/>
  <c r="AD154" i="2"/>
  <c r="AG154" i="2"/>
  <c r="Z156" i="2"/>
  <c r="AD156" i="2"/>
  <c r="AG156" i="2"/>
  <c r="Z157" i="2"/>
  <c r="AD157" i="2"/>
  <c r="AG157" i="2"/>
  <c r="Y159" i="2"/>
  <c r="Z159" i="2"/>
  <c r="AD159" i="2"/>
  <c r="AG159" i="2"/>
  <c r="AG152" i="2"/>
  <c r="Z199" i="2"/>
  <c r="AD199" i="2"/>
  <c r="AC199" i="2"/>
  <c r="Z201" i="2"/>
  <c r="AD201" i="2"/>
  <c r="AC201" i="2"/>
  <c r="Z202" i="2"/>
  <c r="AD202" i="2"/>
  <c r="AC202" i="2"/>
  <c r="Z204" i="2"/>
  <c r="AD204" i="2"/>
  <c r="AC204" i="2"/>
  <c r="AC197" i="2"/>
  <c r="BB226" i="2"/>
  <c r="BC226" i="2"/>
  <c r="AV227" i="2"/>
  <c r="AW227" i="2"/>
  <c r="BB227" i="2"/>
  <c r="BC227" i="2"/>
  <c r="BB228" i="2"/>
  <c r="BC228" i="2"/>
  <c r="BB229" i="2"/>
  <c r="BC229" i="2"/>
  <c r="BB230" i="2"/>
  <c r="BC230" i="2"/>
  <c r="BB231" i="2"/>
  <c r="BC231" i="2"/>
  <c r="BC224" i="2"/>
  <c r="Y38" i="2"/>
  <c r="Z38" i="2"/>
  <c r="AD38" i="2"/>
  <c r="AG38" i="2"/>
  <c r="Z39" i="2"/>
  <c r="AD39" i="2"/>
  <c r="AG39" i="2"/>
  <c r="Z40" i="2"/>
  <c r="AD40" i="2"/>
  <c r="AG40" i="2"/>
  <c r="Z41" i="2"/>
  <c r="AD41" i="2"/>
  <c r="AG41" i="2"/>
  <c r="Y42" i="2"/>
  <c r="Z42" i="2"/>
  <c r="AD42" i="2"/>
  <c r="AG42" i="2"/>
  <c r="AG35" i="2"/>
  <c r="Z194" i="2"/>
  <c r="AD194" i="2"/>
  <c r="AG194" i="2"/>
  <c r="AG188" i="2"/>
  <c r="BA227" i="2"/>
  <c r="BA228" i="2"/>
  <c r="BA229" i="2"/>
  <c r="BA231" i="2"/>
  <c r="BA224" i="2"/>
  <c r="AZ227" i="2"/>
  <c r="AZ229" i="2"/>
  <c r="AZ231" i="2"/>
  <c r="AZ224" i="2"/>
  <c r="AZ12" i="2"/>
  <c r="AZ13" i="2"/>
  <c r="AZ8" i="2"/>
  <c r="Y209" i="2"/>
  <c r="T209" i="2"/>
  <c r="Y213" i="2"/>
  <c r="T213" i="2"/>
  <c r="T206" i="2"/>
  <c r="AV181" i="2"/>
  <c r="AQ181" i="2"/>
  <c r="AV182" i="2"/>
  <c r="AQ182" i="2"/>
  <c r="AQ179" i="2"/>
  <c r="BA55" i="2"/>
  <c r="BA60" i="2"/>
  <c r="BA53" i="2"/>
  <c r="AZ55" i="2"/>
  <c r="V213" i="2"/>
  <c r="V206" i="2"/>
  <c r="Y10" i="2"/>
  <c r="Z10" i="2"/>
  <c r="AD10" i="2"/>
  <c r="AG10" i="2"/>
  <c r="Y11" i="2"/>
  <c r="Z11" i="2"/>
  <c r="AD11" i="2"/>
  <c r="AG11" i="2"/>
  <c r="Y12" i="2"/>
  <c r="Z12" i="2"/>
  <c r="V12" i="2"/>
  <c r="AD12" i="2"/>
  <c r="AG12" i="2"/>
  <c r="Y13" i="2"/>
  <c r="Z13" i="2"/>
  <c r="AD13" i="2"/>
  <c r="AG13" i="2"/>
  <c r="Y14" i="2"/>
  <c r="Z14" i="2"/>
  <c r="AD14" i="2"/>
  <c r="AG14" i="2"/>
  <c r="Y15" i="2"/>
  <c r="Z15" i="2"/>
  <c r="AD15" i="2"/>
  <c r="AG15" i="2"/>
  <c r="AG8" i="2"/>
  <c r="AV235" i="2"/>
  <c r="AQ235" i="2"/>
  <c r="AV236" i="2"/>
  <c r="AQ236" i="2"/>
  <c r="AM237" i="2"/>
  <c r="AV237" i="2"/>
  <c r="AQ237" i="2"/>
  <c r="AV239" i="2"/>
  <c r="AQ239" i="2"/>
  <c r="AV240" i="2"/>
  <c r="AQ240" i="2"/>
  <c r="AQ233" i="2"/>
  <c r="AM64" i="2"/>
  <c r="AV64" i="2"/>
  <c r="AQ64" i="2"/>
  <c r="AV65" i="2"/>
  <c r="AQ65" i="2"/>
  <c r="AV66" i="2"/>
  <c r="AQ66" i="2"/>
  <c r="AM69" i="2"/>
  <c r="AV69" i="2"/>
  <c r="AQ69" i="2"/>
  <c r="AQ62" i="2"/>
  <c r="AC10" i="2"/>
  <c r="AC11" i="2"/>
  <c r="AC12" i="2"/>
  <c r="AC13" i="2"/>
  <c r="AC14" i="2"/>
  <c r="AC15" i="2"/>
  <c r="AC8" i="2"/>
  <c r="AV243" i="2"/>
  <c r="AQ243" i="2"/>
  <c r="AV244" i="2"/>
  <c r="AQ244" i="2"/>
  <c r="AV248" i="2"/>
  <c r="AQ248" i="2"/>
  <c r="AV249" i="2"/>
  <c r="AQ249" i="2"/>
  <c r="AQ242" i="2"/>
  <c r="AV73" i="2"/>
  <c r="AQ73" i="2"/>
  <c r="AV77" i="2"/>
  <c r="AQ77" i="2"/>
  <c r="AQ71" i="2"/>
  <c r="V240" i="2"/>
  <c r="V233" i="2"/>
  <c r="V177" i="2"/>
  <c r="V170" i="2"/>
  <c r="V150" i="2"/>
  <c r="V143" i="2"/>
  <c r="V127" i="2"/>
  <c r="V125" i="2"/>
  <c r="V66" i="2"/>
  <c r="V62" i="2"/>
  <c r="V56" i="2"/>
  <c r="V53" i="2"/>
  <c r="V21" i="2"/>
  <c r="V24" i="2"/>
  <c r="V17" i="2"/>
  <c r="V8" i="2"/>
  <c r="V269" i="2"/>
  <c r="U143" i="2"/>
  <c r="U269" i="2"/>
  <c r="Y65" i="2"/>
  <c r="T65" i="2"/>
  <c r="Y66" i="2"/>
  <c r="T66" i="2"/>
  <c r="T62" i="2"/>
  <c r="AV28" i="2"/>
  <c r="AW28" i="2"/>
  <c r="AV29" i="2"/>
  <c r="AW29" i="2"/>
  <c r="AV30" i="2"/>
  <c r="AW30" i="2"/>
  <c r="AV31" i="2"/>
  <c r="AW31" i="2"/>
  <c r="AV32" i="2"/>
  <c r="AW32" i="2"/>
  <c r="AW26" i="2"/>
  <c r="Z163" i="2"/>
  <c r="AD163" i="2"/>
  <c r="AC163" i="2"/>
  <c r="Y165" i="2"/>
  <c r="Z165" i="2"/>
  <c r="AD165" i="2"/>
  <c r="AC165" i="2"/>
  <c r="Z167" i="2"/>
  <c r="AD167" i="2"/>
  <c r="AC167" i="2"/>
  <c r="AC161" i="2"/>
  <c r="AZ41" i="2"/>
  <c r="AZ42" i="2"/>
  <c r="AZ35" i="2"/>
  <c r="AY35" i="2"/>
  <c r="AW64" i="2"/>
  <c r="AW65" i="2"/>
  <c r="AW66" i="2"/>
  <c r="AW69" i="2"/>
  <c r="AW62" i="2"/>
  <c r="AV62" i="2"/>
  <c r="AU62" i="2"/>
  <c r="Z19" i="2"/>
  <c r="AD19" i="2"/>
  <c r="AC19" i="2"/>
  <c r="Y20" i="2"/>
  <c r="Z20" i="2"/>
  <c r="AD20" i="2"/>
  <c r="AC20" i="2"/>
  <c r="Y21" i="2"/>
  <c r="Z21" i="2"/>
  <c r="AD21" i="2"/>
  <c r="AC21" i="2"/>
  <c r="Z22" i="2"/>
  <c r="AD22" i="2"/>
  <c r="AC22" i="2"/>
  <c r="Z23" i="2"/>
  <c r="AD23" i="2"/>
  <c r="AC23" i="2"/>
  <c r="Y24" i="2"/>
  <c r="Z24" i="2"/>
  <c r="AD24" i="2"/>
  <c r="AC24" i="2"/>
  <c r="AC17" i="2"/>
  <c r="AG163" i="2"/>
  <c r="AG165" i="2"/>
  <c r="AG167" i="2"/>
  <c r="AG161" i="2"/>
  <c r="AV262" i="2"/>
  <c r="AQ262" i="2"/>
  <c r="AM263" i="2"/>
  <c r="AV263" i="2"/>
  <c r="AQ263" i="2"/>
  <c r="AV264" i="2"/>
  <c r="AQ264" i="2"/>
  <c r="AV265" i="2"/>
  <c r="AQ265" i="2"/>
  <c r="AQ260" i="2"/>
  <c r="AI189" i="2"/>
  <c r="AI190" i="2"/>
  <c r="AZ95" i="2"/>
  <c r="AZ96" i="2"/>
  <c r="AZ89" i="2"/>
  <c r="Y145" i="2"/>
  <c r="T145" i="2"/>
  <c r="Y147" i="2"/>
  <c r="T147" i="2"/>
  <c r="Y149" i="2"/>
  <c r="T149" i="2"/>
  <c r="Y150" i="2"/>
  <c r="T150" i="2"/>
  <c r="T143" i="2"/>
  <c r="Y236" i="2"/>
  <c r="T236" i="2"/>
  <c r="Y240" i="2"/>
  <c r="T240" i="2"/>
  <c r="T233" i="2"/>
  <c r="T20" i="2"/>
  <c r="T21" i="2"/>
  <c r="T24" i="2"/>
  <c r="T17" i="2"/>
  <c r="AZ73" i="2"/>
  <c r="AZ78" i="2"/>
  <c r="AZ71" i="2"/>
  <c r="AZ192" i="2"/>
  <c r="AZ188" i="2"/>
  <c r="AM218" i="2"/>
  <c r="AV218" i="2"/>
  <c r="AW218" i="2"/>
  <c r="AM222" i="2"/>
  <c r="AV222" i="2"/>
  <c r="AW222" i="2"/>
  <c r="AW215" i="2"/>
  <c r="AG19" i="2"/>
  <c r="AG20" i="2"/>
  <c r="AG21" i="2"/>
  <c r="AG22" i="2"/>
  <c r="AG23" i="2"/>
  <c r="AG24" i="2"/>
  <c r="AG17" i="2"/>
  <c r="Z243" i="2"/>
  <c r="AD243" i="2"/>
  <c r="AG243" i="2"/>
  <c r="Z248" i="2"/>
  <c r="AD248" i="2"/>
  <c r="AG248" i="2"/>
  <c r="AG242" i="2"/>
  <c r="BH242" i="2"/>
  <c r="BI242" i="2"/>
  <c r="AW243" i="2"/>
  <c r="BB243" i="2"/>
  <c r="BC243" i="2"/>
  <c r="AW244" i="2"/>
  <c r="BB244" i="2"/>
  <c r="BC244" i="2"/>
  <c r="BB245" i="2"/>
  <c r="BC245" i="2"/>
  <c r="BB247" i="2"/>
  <c r="BC247" i="2"/>
  <c r="AW248" i="2"/>
  <c r="BB248" i="2"/>
  <c r="BC248" i="2"/>
  <c r="AW249" i="2"/>
  <c r="BB249" i="2"/>
  <c r="BC249" i="2"/>
  <c r="BC242" i="2"/>
  <c r="BE242" i="2"/>
  <c r="BG242" i="2"/>
  <c r="AZ105" i="2"/>
  <c r="AZ98" i="2"/>
  <c r="AY98" i="2"/>
  <c r="AW235" i="2"/>
  <c r="AW236" i="2"/>
  <c r="AW237" i="2"/>
  <c r="AW239" i="2"/>
  <c r="AW240" i="2"/>
  <c r="AW233" i="2"/>
  <c r="AV233" i="2"/>
  <c r="AU233" i="2"/>
  <c r="T10" i="2"/>
  <c r="T11" i="2"/>
  <c r="T12" i="2"/>
  <c r="T13" i="2"/>
  <c r="T14" i="2"/>
  <c r="T15" i="2"/>
  <c r="T8" i="2"/>
  <c r="AZ30" i="2"/>
  <c r="AZ26" i="2"/>
  <c r="AV203" i="2"/>
  <c r="AW203" i="2"/>
  <c r="BB203" i="2"/>
  <c r="BC203" i="2"/>
  <c r="BA203" i="2"/>
  <c r="AZ203" i="2"/>
  <c r="Y233" i="2"/>
  <c r="Y206" i="2"/>
  <c r="Y173" i="2"/>
  <c r="Y177" i="2"/>
  <c r="Y170" i="2"/>
  <c r="Y161" i="2"/>
  <c r="Y152" i="2"/>
  <c r="Y143" i="2"/>
  <c r="Y127" i="2"/>
  <c r="Y132" i="2"/>
  <c r="Y125" i="2"/>
  <c r="Y105" i="2"/>
  <c r="Y98" i="2"/>
  <c r="Y91" i="2"/>
  <c r="Y92" i="2"/>
  <c r="Y96" i="2"/>
  <c r="Y89" i="2"/>
  <c r="Y73" i="2"/>
  <c r="Y75" i="2"/>
  <c r="Y71" i="2"/>
  <c r="Y62" i="2"/>
  <c r="Y55" i="2"/>
  <c r="Y56" i="2"/>
  <c r="Y60" i="2"/>
  <c r="Y53" i="2"/>
  <c r="Y35" i="2"/>
  <c r="Y26" i="2"/>
  <c r="Y17" i="2"/>
  <c r="Y8" i="2"/>
  <c r="Y269" i="2"/>
  <c r="AW224" i="2"/>
  <c r="AV224" i="2"/>
  <c r="AT224" i="2"/>
  <c r="BH260" i="2"/>
  <c r="BI260" i="2"/>
  <c r="Z252" i="2"/>
  <c r="AD252" i="2"/>
  <c r="AG252" i="2"/>
  <c r="Z253" i="2"/>
  <c r="AD253" i="2"/>
  <c r="AG253" i="2"/>
  <c r="Z255" i="2"/>
  <c r="AD255" i="2"/>
  <c r="AG255" i="2"/>
  <c r="Z256" i="2"/>
  <c r="AD256" i="2"/>
  <c r="AG256" i="2"/>
  <c r="AG251" i="2"/>
  <c r="BH251" i="2"/>
  <c r="BI251" i="2"/>
  <c r="Z234" i="2"/>
  <c r="AD234" i="2"/>
  <c r="AG234" i="2"/>
  <c r="Z235" i="2"/>
  <c r="AD235" i="2"/>
  <c r="AG235" i="2"/>
  <c r="Z236" i="2"/>
  <c r="AD236" i="2"/>
  <c r="AG236" i="2"/>
  <c r="Z238" i="2"/>
  <c r="AD238" i="2"/>
  <c r="AG238" i="2"/>
  <c r="Z239" i="2"/>
  <c r="AD239" i="2"/>
  <c r="AG239" i="2"/>
  <c r="Z240" i="2"/>
  <c r="AD240" i="2"/>
  <c r="AG240" i="2"/>
  <c r="AG233" i="2"/>
  <c r="AH233" i="2"/>
  <c r="BH233" i="2"/>
  <c r="BI233" i="2"/>
  <c r="AG224" i="2"/>
  <c r="BH224" i="2"/>
  <c r="BI224" i="2"/>
  <c r="Z217" i="2"/>
  <c r="AD217" i="2"/>
  <c r="AG217" i="2"/>
  <c r="Z221" i="2"/>
  <c r="AD221" i="2"/>
  <c r="AG221" i="2"/>
  <c r="Z222" i="2"/>
  <c r="AD222" i="2"/>
  <c r="AG222" i="2"/>
  <c r="AG215" i="2"/>
  <c r="BH215" i="2"/>
  <c r="BI215" i="2"/>
  <c r="Z207" i="2"/>
  <c r="AD207" i="2"/>
  <c r="AG207" i="2"/>
  <c r="Z209" i="2"/>
  <c r="AD209" i="2"/>
  <c r="AG209" i="2"/>
  <c r="Z210" i="2"/>
  <c r="AD210" i="2"/>
  <c r="AG210" i="2"/>
  <c r="Z213" i="2"/>
  <c r="AD213" i="2"/>
  <c r="AG213" i="2"/>
  <c r="AG206" i="2"/>
  <c r="BH206" i="2"/>
  <c r="BI206" i="2"/>
  <c r="AG199" i="2"/>
  <c r="AG201" i="2"/>
  <c r="AG202" i="2"/>
  <c r="AG204" i="2"/>
  <c r="AG197" i="2"/>
  <c r="AH197" i="2"/>
  <c r="BH197" i="2"/>
  <c r="BI197" i="2"/>
  <c r="BH188" i="2"/>
  <c r="BI188" i="2"/>
  <c r="Z182" i="2"/>
  <c r="AD182" i="2"/>
  <c r="AG182" i="2"/>
  <c r="AG179" i="2"/>
  <c r="AH179" i="2"/>
  <c r="BH179" i="2"/>
  <c r="BI179" i="2"/>
  <c r="Z171" i="2"/>
  <c r="AD171" i="2"/>
  <c r="AG171" i="2"/>
  <c r="Z172" i="2"/>
  <c r="AD172" i="2"/>
  <c r="AG172" i="2"/>
  <c r="Z173" i="2"/>
  <c r="AD173" i="2"/>
  <c r="AG173" i="2"/>
  <c r="Z176" i="2"/>
  <c r="AD176" i="2"/>
  <c r="AG176" i="2"/>
  <c r="Z177" i="2"/>
  <c r="AD177" i="2"/>
  <c r="AG177" i="2"/>
  <c r="AG170" i="2"/>
  <c r="BH170" i="2"/>
  <c r="BI170" i="2"/>
  <c r="AH161" i="2"/>
  <c r="BH161" i="2"/>
  <c r="BI161" i="2"/>
  <c r="BH152" i="2"/>
  <c r="BI152" i="2"/>
  <c r="Z144" i="2"/>
  <c r="AD144" i="2"/>
  <c r="AG144" i="2"/>
  <c r="Z145" i="2"/>
  <c r="AD145" i="2"/>
  <c r="AG145" i="2"/>
  <c r="Z147" i="2"/>
  <c r="AD147" i="2"/>
  <c r="AG147" i="2"/>
  <c r="Z149" i="2"/>
  <c r="AD149" i="2"/>
  <c r="AG149" i="2"/>
  <c r="Z150" i="2"/>
  <c r="AD150" i="2"/>
  <c r="AG150" i="2"/>
  <c r="AG143" i="2"/>
  <c r="BH143" i="2"/>
  <c r="BI143" i="2"/>
  <c r="Z135" i="2"/>
  <c r="AD135" i="2"/>
  <c r="AG135" i="2"/>
  <c r="Z136" i="2"/>
  <c r="AD136" i="2"/>
  <c r="AG136" i="2"/>
  <c r="Z138" i="2"/>
  <c r="AD138" i="2"/>
  <c r="AG138" i="2"/>
  <c r="Z139" i="2"/>
  <c r="AD139" i="2"/>
  <c r="AG139" i="2"/>
  <c r="Z140" i="2"/>
  <c r="AD140" i="2"/>
  <c r="AG140" i="2"/>
  <c r="AG134" i="2"/>
  <c r="BH134" i="2"/>
  <c r="BI134" i="2"/>
  <c r="Z126" i="2"/>
  <c r="AD126" i="2"/>
  <c r="AG126" i="2"/>
  <c r="Z127" i="2"/>
  <c r="AD127" i="2"/>
  <c r="AG127" i="2"/>
  <c r="Z132" i="2"/>
  <c r="AD132" i="2"/>
  <c r="AG132" i="2"/>
  <c r="AG125" i="2"/>
  <c r="BH125" i="2"/>
  <c r="BI125" i="2"/>
  <c r="Z117" i="2"/>
  <c r="AD117" i="2"/>
  <c r="AG117" i="2"/>
  <c r="Z118" i="2"/>
  <c r="AD118" i="2"/>
  <c r="AG118" i="2"/>
  <c r="AG116" i="2"/>
  <c r="BH116" i="2"/>
  <c r="BI116" i="2"/>
  <c r="Z108" i="2"/>
  <c r="AD108" i="2"/>
  <c r="AG108" i="2"/>
  <c r="Z109" i="2"/>
  <c r="AD109" i="2"/>
  <c r="AG109" i="2"/>
  <c r="Z110" i="2"/>
  <c r="AD110" i="2"/>
  <c r="AG110" i="2"/>
  <c r="Z111" i="2"/>
  <c r="AD111" i="2"/>
  <c r="AG111" i="2"/>
  <c r="Z112" i="2"/>
  <c r="AD112" i="2"/>
  <c r="AG112" i="2"/>
  <c r="Z113" i="2"/>
  <c r="AD113" i="2"/>
  <c r="AG113" i="2"/>
  <c r="Z114" i="2"/>
  <c r="AD114" i="2"/>
  <c r="AG114" i="2"/>
  <c r="AG107" i="2"/>
  <c r="BH107" i="2"/>
  <c r="BI107" i="2"/>
  <c r="Z99" i="2"/>
  <c r="AD99" i="2"/>
  <c r="AG99" i="2"/>
  <c r="Z102" i="2"/>
  <c r="AD102" i="2"/>
  <c r="AG102" i="2"/>
  <c r="Z103" i="2"/>
  <c r="AD103" i="2"/>
  <c r="AG103" i="2"/>
  <c r="Z104" i="2"/>
  <c r="AD104" i="2"/>
  <c r="AG104" i="2"/>
  <c r="Z105" i="2"/>
  <c r="AD105" i="2"/>
  <c r="AG105" i="2"/>
  <c r="AG98" i="2"/>
  <c r="BH98" i="2"/>
  <c r="BI98" i="2"/>
  <c r="Z90" i="2"/>
  <c r="AD90" i="2"/>
  <c r="AG90" i="2"/>
  <c r="Z91" i="2"/>
  <c r="AD91" i="2"/>
  <c r="AG91" i="2"/>
  <c r="Z92" i="2"/>
  <c r="AD92" i="2"/>
  <c r="AG92" i="2"/>
  <c r="Z93" i="2"/>
  <c r="AD93" i="2"/>
  <c r="AG93" i="2"/>
  <c r="Z94" i="2"/>
  <c r="AD94" i="2"/>
  <c r="AG94" i="2"/>
  <c r="Z95" i="2"/>
  <c r="AD95" i="2"/>
  <c r="AG95" i="2"/>
  <c r="Z96" i="2"/>
  <c r="AD96" i="2"/>
  <c r="AG96" i="2"/>
  <c r="AG89" i="2"/>
  <c r="BH89" i="2"/>
  <c r="BI89" i="2"/>
  <c r="BH80" i="2"/>
  <c r="BI80" i="2"/>
  <c r="Z72" i="2"/>
  <c r="AD72" i="2"/>
  <c r="AG72" i="2"/>
  <c r="Z73" i="2"/>
  <c r="AD73" i="2"/>
  <c r="AG73" i="2"/>
  <c r="Z75" i="2"/>
  <c r="AD75" i="2"/>
  <c r="AG75" i="2"/>
  <c r="Z76" i="2"/>
  <c r="AD76" i="2"/>
  <c r="AG76" i="2"/>
  <c r="Z77" i="2"/>
  <c r="AD77" i="2"/>
  <c r="AG77" i="2"/>
  <c r="Z78" i="2"/>
  <c r="AD78" i="2"/>
  <c r="AG78" i="2"/>
  <c r="AG71" i="2"/>
  <c r="BH71" i="2"/>
  <c r="BI71" i="2"/>
  <c r="Z65" i="2"/>
  <c r="AD65" i="2"/>
  <c r="AG65" i="2"/>
  <c r="Z66" i="2"/>
  <c r="AD66" i="2"/>
  <c r="AG66" i="2"/>
  <c r="AG62" i="2"/>
  <c r="BH62" i="2"/>
  <c r="BI62" i="2"/>
  <c r="Z54" i="2"/>
  <c r="AD54" i="2"/>
  <c r="AG54" i="2"/>
  <c r="Z55" i="2"/>
  <c r="AD55" i="2"/>
  <c r="AG55" i="2"/>
  <c r="Z56" i="2"/>
  <c r="AD56" i="2"/>
  <c r="AG56" i="2"/>
  <c r="Z60" i="2"/>
  <c r="AD60" i="2"/>
  <c r="AG60" i="2"/>
  <c r="AG53" i="2"/>
  <c r="BH53" i="2"/>
  <c r="BI53" i="2"/>
  <c r="Z45" i="2"/>
  <c r="AD45" i="2"/>
  <c r="AG45" i="2"/>
  <c r="Z46" i="2"/>
  <c r="AD46" i="2"/>
  <c r="AG46" i="2"/>
  <c r="Z47" i="2"/>
  <c r="AD47" i="2"/>
  <c r="AG47" i="2"/>
  <c r="Z48" i="2"/>
  <c r="AD48" i="2"/>
  <c r="AG48" i="2"/>
  <c r="Z49" i="2"/>
  <c r="AD49" i="2"/>
  <c r="AG49" i="2"/>
  <c r="Z50" i="2"/>
  <c r="AD50" i="2"/>
  <c r="AG50" i="2"/>
  <c r="Z51" i="2"/>
  <c r="AD51" i="2"/>
  <c r="AG51" i="2"/>
  <c r="AG44" i="2"/>
  <c r="BH44" i="2"/>
  <c r="BI44" i="2"/>
  <c r="BH35" i="2"/>
  <c r="BI35" i="2"/>
  <c r="Z29" i="2"/>
  <c r="AD29" i="2"/>
  <c r="AG29" i="2"/>
  <c r="Z31" i="2"/>
  <c r="AD31" i="2"/>
  <c r="AG31" i="2"/>
  <c r="Z32" i="2"/>
  <c r="AD32" i="2"/>
  <c r="AG32" i="2"/>
  <c r="AG26" i="2"/>
  <c r="BH26" i="2"/>
  <c r="BI26" i="2"/>
  <c r="BH17" i="2"/>
  <c r="BI17" i="2"/>
  <c r="BH8" i="2"/>
  <c r="BI8" i="2"/>
  <c r="BI269" i="2"/>
  <c r="T55" i="2"/>
  <c r="T56" i="2"/>
  <c r="T60" i="2"/>
  <c r="T53" i="2"/>
  <c r="T105" i="2"/>
  <c r="T98" i="2"/>
  <c r="AV145" i="2"/>
  <c r="AW145" i="2"/>
  <c r="AV146" i="2"/>
  <c r="AW146" i="2"/>
  <c r="AV147" i="2"/>
  <c r="AW147" i="2"/>
  <c r="AV149" i="2"/>
  <c r="AW149" i="2"/>
  <c r="AV150" i="2"/>
  <c r="AW150" i="2"/>
  <c r="AW143" i="2"/>
  <c r="AV143" i="2"/>
  <c r="AU143" i="2"/>
  <c r="T91" i="2"/>
  <c r="T92" i="2"/>
  <c r="T96" i="2"/>
  <c r="T89" i="2"/>
  <c r="AQ145" i="2"/>
  <c r="AQ146" i="2"/>
  <c r="AQ147" i="2"/>
  <c r="AQ149" i="2"/>
  <c r="AQ150" i="2"/>
  <c r="AQ143" i="2"/>
  <c r="AV55" i="2"/>
  <c r="AW55" i="2"/>
  <c r="BB55" i="2"/>
  <c r="BC55" i="2"/>
  <c r="BB59" i="2"/>
  <c r="BC59" i="2"/>
  <c r="AV60" i="2"/>
  <c r="AW60" i="2"/>
  <c r="BB60" i="2"/>
  <c r="BC60" i="2"/>
  <c r="BC53" i="2"/>
  <c r="BE53" i="2"/>
  <c r="BG53" i="2"/>
  <c r="BA248" i="2"/>
  <c r="AZ248" i="2"/>
  <c r="AV256" i="2"/>
  <c r="AW256" i="2"/>
  <c r="BB256" i="2"/>
  <c r="BC256" i="2"/>
  <c r="AY269" i="2"/>
  <c r="BB239" i="2"/>
  <c r="BC239" i="2"/>
  <c r="BA239" i="2"/>
  <c r="AZ239" i="2"/>
  <c r="BB218" i="2"/>
  <c r="BC218" i="2"/>
  <c r="AV199" i="2"/>
  <c r="AW199" i="2"/>
  <c r="BB199" i="2"/>
  <c r="BC199" i="2"/>
  <c r="AV252" i="2"/>
  <c r="AW252" i="2"/>
  <c r="BB252" i="2"/>
  <c r="BC252" i="2"/>
  <c r="AV253" i="2"/>
  <c r="AW253" i="2"/>
  <c r="BB253" i="2"/>
  <c r="BC253" i="2"/>
  <c r="AV255" i="2"/>
  <c r="AW255" i="2"/>
  <c r="BB255" i="2"/>
  <c r="BC255" i="2"/>
  <c r="AM257" i="2"/>
  <c r="AV257" i="2"/>
  <c r="AW257" i="2"/>
  <c r="BB257" i="2"/>
  <c r="BC257" i="2"/>
  <c r="AV258" i="2"/>
  <c r="AW258" i="2"/>
  <c r="BB258" i="2"/>
  <c r="BC258" i="2"/>
  <c r="BC251" i="2"/>
  <c r="BE251" i="2"/>
  <c r="BG251" i="2"/>
  <c r="BB235" i="2"/>
  <c r="BB236" i="2"/>
  <c r="BB237" i="2"/>
  <c r="BB240" i="2"/>
  <c r="BB233" i="2"/>
  <c r="BA235" i="2"/>
  <c r="BA237" i="2"/>
  <c r="BA233" i="2"/>
  <c r="AZ233" i="2"/>
  <c r="BC235" i="2"/>
  <c r="AW181" i="2"/>
  <c r="BB181" i="2"/>
  <c r="AW182" i="2"/>
  <c r="BB182" i="2"/>
  <c r="BB183" i="2"/>
  <c r="BB185" i="2"/>
  <c r="BB186" i="2"/>
  <c r="BB179" i="2"/>
  <c r="BC181" i="2"/>
  <c r="BB200" i="2"/>
  <c r="BC200" i="2"/>
  <c r="AV192" i="2"/>
  <c r="AW192" i="2"/>
  <c r="BB192" i="2"/>
  <c r="BC192" i="2"/>
  <c r="BA192" i="2"/>
  <c r="BC183" i="2"/>
  <c r="BB219" i="2"/>
  <c r="BC219" i="2"/>
  <c r="BA221" i="2"/>
  <c r="BA215" i="2"/>
  <c r="AV176" i="2"/>
  <c r="AW176" i="2"/>
  <c r="BB176" i="2"/>
  <c r="BC176" i="2"/>
  <c r="BA176" i="2"/>
  <c r="AZ176" i="2"/>
  <c r="AV157" i="2"/>
  <c r="AW157" i="2"/>
  <c r="BB157" i="2"/>
  <c r="BC157" i="2"/>
  <c r="AV155" i="2"/>
  <c r="AW155" i="2"/>
  <c r="BB155" i="2"/>
  <c r="BC155" i="2"/>
  <c r="BA155" i="2"/>
  <c r="BB148" i="2"/>
  <c r="BC148" i="2"/>
  <c r="AV140" i="2"/>
  <c r="AW140" i="2"/>
  <c r="BB140" i="2"/>
  <c r="BC140" i="2"/>
  <c r="AV132" i="2"/>
  <c r="AW132" i="2"/>
  <c r="BB132" i="2"/>
  <c r="BC132" i="2"/>
  <c r="BA132" i="2"/>
  <c r="AV126" i="2"/>
  <c r="AQ126" i="2"/>
  <c r="AM128" i="2"/>
  <c r="AV128" i="2"/>
  <c r="AQ128" i="2"/>
  <c r="AQ132" i="2"/>
  <c r="AQ125" i="2"/>
  <c r="BB158" i="2"/>
  <c r="BC158" i="2"/>
  <c r="BB150" i="2"/>
  <c r="BC150" i="2"/>
  <c r="BA186" i="2"/>
  <c r="BA179" i="2"/>
  <c r="AV173" i="2"/>
  <c r="AW173" i="2"/>
  <c r="AQ173" i="2"/>
  <c r="AV165" i="2"/>
  <c r="AW165" i="2"/>
  <c r="BB165" i="2"/>
  <c r="BC165" i="2"/>
  <c r="AZ165" i="2"/>
  <c r="AV118" i="2"/>
  <c r="AW118" i="2"/>
  <c r="BB118" i="2"/>
  <c r="BC118" i="2"/>
  <c r="AV95" i="2"/>
  <c r="AW95" i="2"/>
  <c r="BB95" i="2"/>
  <c r="BC95" i="2"/>
  <c r="BA95" i="2"/>
  <c r="AW77" i="2"/>
  <c r="BB77" i="2"/>
  <c r="BC77" i="2"/>
  <c r="AV117" i="2"/>
  <c r="AQ117" i="2"/>
  <c r="AQ118" i="2"/>
  <c r="AV119" i="2"/>
  <c r="AQ119" i="2"/>
  <c r="AQ116" i="2"/>
  <c r="AW128" i="2"/>
  <c r="BB128" i="2"/>
  <c r="BC128" i="2"/>
  <c r="BA128" i="2"/>
  <c r="BB109" i="2"/>
  <c r="BC109" i="2"/>
  <c r="BA109" i="2"/>
  <c r="AZ109" i="2"/>
  <c r="BB48" i="2"/>
  <c r="BC48" i="2"/>
  <c r="AV45" i="2"/>
  <c r="AW45" i="2"/>
  <c r="BB45" i="2"/>
  <c r="BC45" i="2"/>
  <c r="AV46" i="2"/>
  <c r="AW46" i="2"/>
  <c r="BB46" i="2"/>
  <c r="BC46" i="2"/>
  <c r="AV47" i="2"/>
  <c r="AW47" i="2"/>
  <c r="BB47" i="2"/>
  <c r="BC47" i="2"/>
  <c r="BB49" i="2"/>
  <c r="BC49" i="2"/>
  <c r="BB50" i="2"/>
  <c r="BC50" i="2"/>
  <c r="AV51" i="2"/>
  <c r="AW51" i="2"/>
  <c r="BB51" i="2"/>
  <c r="BC51" i="2"/>
  <c r="BC44" i="2"/>
  <c r="BE44" i="2"/>
  <c r="BG44" i="2"/>
  <c r="BB66" i="2"/>
  <c r="BC66" i="2"/>
  <c r="BA46" i="2"/>
  <c r="AZ46" i="2"/>
  <c r="BB39" i="2"/>
  <c r="BC39" i="2"/>
  <c r="BA39" i="2"/>
  <c r="AV113" i="2"/>
  <c r="AW113" i="2"/>
  <c r="BB113" i="2"/>
  <c r="BC113" i="2"/>
  <c r="BA113" i="2"/>
  <c r="AZ113" i="2"/>
  <c r="BB85" i="2"/>
  <c r="BC85" i="2"/>
  <c r="AV42" i="2"/>
  <c r="AW42" i="2"/>
  <c r="BB42" i="2"/>
  <c r="BC42" i="2"/>
  <c r="BA42" i="2"/>
  <c r="Z26" i="2"/>
  <c r="AJ17" i="2"/>
  <c r="AK17" i="2"/>
  <c r="BB64" i="2"/>
  <c r="BC64" i="2"/>
  <c r="BB65" i="2"/>
  <c r="BC65" i="2"/>
  <c r="BB68" i="2"/>
  <c r="BC68" i="2"/>
  <c r="BB69" i="2"/>
  <c r="BC69" i="2"/>
  <c r="BC62" i="2"/>
  <c r="BE62" i="2"/>
  <c r="BG62" i="2"/>
  <c r="AW263" i="2"/>
  <c r="BB263" i="2"/>
  <c r="BC263" i="2"/>
  <c r="F387" i="4"/>
  <c r="E249" i="4"/>
  <c r="E107" i="4"/>
  <c r="E108" i="4"/>
  <c r="E48" i="4"/>
  <c r="E49" i="4"/>
  <c r="E387" i="4"/>
  <c r="D249" i="4"/>
  <c r="C249" i="4"/>
  <c r="H373" i="4"/>
  <c r="H281" i="4"/>
  <c r="H249" i="4"/>
  <c r="H210" i="4"/>
  <c r="H192" i="4"/>
  <c r="H49" i="4"/>
  <c r="H387" i="4"/>
  <c r="G373" i="4"/>
  <c r="D373" i="4"/>
  <c r="BB222" i="2"/>
  <c r="BC222" i="2"/>
  <c r="BB217" i="2"/>
  <c r="BB220" i="2"/>
  <c r="BB221" i="2"/>
  <c r="BB215" i="2"/>
  <c r="BC217" i="2"/>
  <c r="AV207" i="2"/>
  <c r="AW207" i="2"/>
  <c r="BB207" i="2"/>
  <c r="BC207" i="2"/>
  <c r="AV208" i="2"/>
  <c r="AW208" i="2"/>
  <c r="BB208" i="2"/>
  <c r="BC208" i="2"/>
  <c r="AV209" i="2"/>
  <c r="AW209" i="2"/>
  <c r="BB209" i="2"/>
  <c r="BC209" i="2"/>
  <c r="AV210" i="2"/>
  <c r="AW210" i="2"/>
  <c r="BB210" i="2"/>
  <c r="BC210" i="2"/>
  <c r="AV213" i="2"/>
  <c r="AW213" i="2"/>
  <c r="BB213" i="2"/>
  <c r="BC213" i="2"/>
  <c r="BC206" i="2"/>
  <c r="BE206" i="2"/>
  <c r="BG206" i="2"/>
  <c r="BC240" i="2"/>
  <c r="BC220" i="2"/>
  <c r="BB204" i="2"/>
  <c r="BC204" i="2"/>
  <c r="BA204" i="2"/>
  <c r="AZ204" i="2"/>
  <c r="BA188" i="2"/>
  <c r="AV172" i="2"/>
  <c r="AW172" i="2"/>
  <c r="BB172" i="2"/>
  <c r="BC172" i="2"/>
  <c r="BB173" i="2"/>
  <c r="BC173" i="2"/>
  <c r="AV174" i="2"/>
  <c r="AW174" i="2"/>
  <c r="BB174" i="2"/>
  <c r="BC174" i="2"/>
  <c r="AV177" i="2"/>
  <c r="AW177" i="2"/>
  <c r="BB177" i="2"/>
  <c r="BC177" i="2"/>
  <c r="BC170" i="2"/>
  <c r="BE170" i="2"/>
  <c r="BG170" i="2"/>
  <c r="AV162" i="2"/>
  <c r="AQ162" i="2"/>
  <c r="AW162" i="2"/>
  <c r="BC182" i="2"/>
  <c r="BB170" i="2"/>
  <c r="BA172" i="2"/>
  <c r="BA174" i="2"/>
  <c r="BA170" i="2"/>
  <c r="AZ170" i="2"/>
  <c r="AQ218" i="2"/>
  <c r="AQ222" i="2"/>
  <c r="AQ215" i="2"/>
  <c r="AV156" i="2"/>
  <c r="AW156" i="2"/>
  <c r="BB156" i="2"/>
  <c r="BC156" i="2"/>
  <c r="BB149" i="2"/>
  <c r="BC149" i="2"/>
  <c r="AV139" i="2"/>
  <c r="AW139" i="2"/>
  <c r="BB139" i="2"/>
  <c r="BC139" i="2"/>
  <c r="AW179" i="2"/>
  <c r="AV136" i="2"/>
  <c r="AW136" i="2"/>
  <c r="BB136" i="2"/>
  <c r="BC136" i="2"/>
  <c r="BB129" i="2"/>
  <c r="BC129" i="2"/>
  <c r="BA129" i="2"/>
  <c r="Z80" i="2"/>
  <c r="BA82" i="2"/>
  <c r="BA83" i="2"/>
  <c r="BA80" i="2"/>
  <c r="AZ82" i="2"/>
  <c r="BA69" i="2"/>
  <c r="AV110" i="2"/>
  <c r="AQ110" i="2"/>
  <c r="AW110" i="2"/>
  <c r="AV83" i="2"/>
  <c r="AW83" i="2"/>
  <c r="BB83" i="2"/>
  <c r="BC83" i="2"/>
  <c r="BB76" i="2"/>
  <c r="BC76" i="2"/>
  <c r="AQ113" i="2"/>
  <c r="BA101" i="2"/>
  <c r="BA102" i="2"/>
  <c r="BA103" i="2"/>
  <c r="BA104" i="2"/>
  <c r="BA105" i="2"/>
  <c r="BA98" i="2"/>
  <c r="T73" i="2"/>
  <c r="T75" i="2"/>
  <c r="T71" i="2"/>
  <c r="BB31" i="2"/>
  <c r="BC31" i="2"/>
  <c r="AV20" i="2"/>
  <c r="AW20" i="2"/>
  <c r="BB20" i="2"/>
  <c r="BC20" i="2"/>
  <c r="BA20" i="2"/>
  <c r="AZ20" i="2"/>
  <c r="AV87" i="2"/>
  <c r="AW87" i="2"/>
  <c r="AQ87" i="2"/>
  <c r="AV19" i="2"/>
  <c r="AW19" i="2"/>
  <c r="BB19" i="2"/>
  <c r="BC19" i="2"/>
  <c r="AZ19" i="2"/>
  <c r="BB84" i="2"/>
  <c r="BC84" i="2"/>
  <c r="AV81" i="2"/>
  <c r="AW81" i="2"/>
  <c r="BB81" i="2"/>
  <c r="BC81" i="2"/>
  <c r="AV82" i="2"/>
  <c r="AW82" i="2"/>
  <c r="BB82" i="2"/>
  <c r="BC82" i="2"/>
  <c r="BB86" i="2"/>
  <c r="BC86" i="2"/>
  <c r="BB87" i="2"/>
  <c r="BC87" i="2"/>
  <c r="BC80" i="2"/>
  <c r="BE80" i="2"/>
  <c r="BG80" i="2"/>
  <c r="BB37" i="2"/>
  <c r="AV38" i="2"/>
  <c r="AW38" i="2"/>
  <c r="BB38" i="2"/>
  <c r="BB40" i="2"/>
  <c r="AV41" i="2"/>
  <c r="AW41" i="2"/>
  <c r="BB41" i="2"/>
  <c r="BB35" i="2"/>
  <c r="BA40" i="2"/>
  <c r="BA41" i="2"/>
  <c r="BA35" i="2"/>
  <c r="BC37" i="2"/>
  <c r="AV22" i="2"/>
  <c r="AW22" i="2"/>
  <c r="BB22" i="2"/>
  <c r="BC22" i="2"/>
  <c r="AV96" i="2"/>
  <c r="AW96" i="2"/>
  <c r="AQ96" i="2"/>
  <c r="AV15" i="2"/>
  <c r="AW15" i="2"/>
  <c r="BB15" i="2"/>
  <c r="BC15" i="2"/>
  <c r="BA15" i="2"/>
  <c r="AW53" i="2"/>
  <c r="AQ28" i="2"/>
  <c r="AQ29" i="2"/>
  <c r="AQ30" i="2"/>
  <c r="AQ31" i="2"/>
  <c r="AQ32" i="2"/>
  <c r="AQ26" i="2"/>
  <c r="AQ38" i="2"/>
  <c r="AQ41" i="2"/>
  <c r="AQ42" i="2"/>
  <c r="AQ35" i="2"/>
  <c r="AV10" i="2"/>
  <c r="AW10" i="2"/>
  <c r="BB10" i="2"/>
  <c r="BC10" i="2"/>
  <c r="BA10" i="2"/>
  <c r="BB29" i="2"/>
  <c r="BC29" i="2"/>
  <c r="AW262" i="2"/>
  <c r="BB262" i="2"/>
  <c r="AW264" i="2"/>
  <c r="BB264" i="2"/>
  <c r="AW265" i="2"/>
  <c r="BB265" i="2"/>
  <c r="BB267" i="2"/>
  <c r="BB260" i="2"/>
  <c r="BC262" i="2"/>
  <c r="BA262" i="2"/>
  <c r="BC267" i="2"/>
  <c r="BA267" i="2"/>
  <c r="BC264" i="2"/>
  <c r="BC236" i="2"/>
  <c r="BA247" i="2"/>
  <c r="BC221" i="2"/>
  <c r="BC215" i="2"/>
  <c r="BE215" i="2"/>
  <c r="BG215" i="2"/>
  <c r="BB201" i="2"/>
  <c r="BC201" i="2"/>
  <c r="BA201" i="2"/>
  <c r="AQ213" i="2"/>
  <c r="BC237" i="2"/>
  <c r="AV153" i="2"/>
  <c r="AW153" i="2"/>
  <c r="BB153" i="2"/>
  <c r="BC153" i="2"/>
  <c r="AV159" i="2"/>
  <c r="AW159" i="2"/>
  <c r="BB159" i="2"/>
  <c r="BC159" i="2"/>
  <c r="BC152" i="2"/>
  <c r="BD152" i="2"/>
  <c r="BD269" i="2"/>
  <c r="Z188" i="2"/>
  <c r="T173" i="2"/>
  <c r="T177" i="2"/>
  <c r="T170" i="2"/>
  <c r="BA159" i="2"/>
  <c r="BB167" i="2"/>
  <c r="BC167" i="2"/>
  <c r="BA167" i="2"/>
  <c r="AV163" i="2"/>
  <c r="AW163" i="2"/>
  <c r="BB163" i="2"/>
  <c r="BC163" i="2"/>
  <c r="BC186" i="2"/>
  <c r="AZ210" i="2"/>
  <c r="AQ203" i="2"/>
  <c r="BB146" i="2"/>
  <c r="BC146" i="2"/>
  <c r="AV141" i="2"/>
  <c r="AW141" i="2"/>
  <c r="BB141" i="2"/>
  <c r="BC141" i="2"/>
  <c r="AV138" i="2"/>
  <c r="AW138" i="2"/>
  <c r="BB138" i="2"/>
  <c r="BC138" i="2"/>
  <c r="BB162" i="2"/>
  <c r="BC162" i="2"/>
  <c r="BB164" i="2"/>
  <c r="BC164" i="2"/>
  <c r="AV168" i="2"/>
  <c r="AW168" i="2"/>
  <c r="BB168" i="2"/>
  <c r="BC168" i="2"/>
  <c r="BC161" i="2"/>
  <c r="BE161" i="2"/>
  <c r="BG161" i="2"/>
  <c r="BB145" i="2"/>
  <c r="BB147" i="2"/>
  <c r="BB143" i="2"/>
  <c r="BC145" i="2"/>
  <c r="AQ153" i="2"/>
  <c r="AQ155" i="2"/>
  <c r="AQ156" i="2"/>
  <c r="AQ157" i="2"/>
  <c r="AQ159" i="2"/>
  <c r="AQ152" i="2"/>
  <c r="BB94" i="2"/>
  <c r="BC94" i="2"/>
  <c r="BA94" i="2"/>
  <c r="BB74" i="2"/>
  <c r="BC74" i="2"/>
  <c r="BA74" i="2"/>
  <c r="T154" i="2"/>
  <c r="T159" i="2"/>
  <c r="T152" i="2"/>
  <c r="BB103" i="2"/>
  <c r="BC103" i="2"/>
  <c r="BB93" i="2"/>
  <c r="BC93" i="2"/>
  <c r="BA93" i="2"/>
  <c r="BA137" i="2"/>
  <c r="BA134" i="2"/>
  <c r="AZ137" i="2"/>
  <c r="AZ134" i="2"/>
  <c r="BB110" i="2"/>
  <c r="BC110" i="2"/>
  <c r="BA110" i="2"/>
  <c r="AZ110" i="2"/>
  <c r="BB102" i="2"/>
  <c r="BC102" i="2"/>
  <c r="BB75" i="2"/>
  <c r="BC75" i="2"/>
  <c r="BB127" i="2"/>
  <c r="BC127" i="2"/>
  <c r="AV114" i="2"/>
  <c r="AW114" i="2"/>
  <c r="BB114" i="2"/>
  <c r="BC114" i="2"/>
  <c r="BA114" i="2"/>
  <c r="AZ114" i="2"/>
  <c r="AV111" i="2"/>
  <c r="AW111" i="2"/>
  <c r="BB111" i="2"/>
  <c r="BC111" i="2"/>
  <c r="BA111" i="2"/>
  <c r="AZ111" i="2"/>
  <c r="AV108" i="2"/>
  <c r="AW108" i="2"/>
  <c r="BB108" i="2"/>
  <c r="BC108" i="2"/>
  <c r="AV112" i="2"/>
  <c r="AW112" i="2"/>
  <c r="BB112" i="2"/>
  <c r="BC112" i="2"/>
  <c r="BC107" i="2"/>
  <c r="BE107" i="2"/>
  <c r="BG107" i="2"/>
  <c r="BA112" i="2"/>
  <c r="AZ112" i="2"/>
  <c r="BB91" i="2"/>
  <c r="BC91" i="2"/>
  <c r="AV21" i="2"/>
  <c r="AW21" i="2"/>
  <c r="BB21" i="2"/>
  <c r="BC21" i="2"/>
  <c r="AQ108" i="2"/>
  <c r="BB30" i="2"/>
  <c r="BC30" i="2"/>
  <c r="BA30" i="2"/>
  <c r="BA49" i="2"/>
  <c r="BB28" i="2"/>
  <c r="BB32" i="2"/>
  <c r="BB33" i="2"/>
  <c r="BB26" i="2"/>
  <c r="BA33" i="2"/>
  <c r="BA26" i="2"/>
  <c r="BC28" i="2"/>
  <c r="AF17" i="2"/>
  <c r="AQ55" i="2"/>
  <c r="AQ60" i="2"/>
  <c r="AQ53" i="2"/>
  <c r="Z17" i="2"/>
  <c r="AV14" i="2"/>
  <c r="AW14" i="2"/>
  <c r="BB14" i="2"/>
  <c r="BC14" i="2"/>
  <c r="BA14" i="2"/>
  <c r="AV12" i="2"/>
  <c r="AW12" i="2"/>
  <c r="BB12" i="2"/>
  <c r="BC12" i="2"/>
  <c r="BA12" i="2"/>
  <c r="AW73" i="2"/>
  <c r="AW71" i="2"/>
  <c r="AV71" i="2"/>
  <c r="AV24" i="2"/>
  <c r="AW24" i="2"/>
  <c r="AQ24" i="2"/>
  <c r="BA258" i="2"/>
  <c r="AQ257" i="2"/>
  <c r="BC265" i="2"/>
  <c r="BB224" i="2"/>
  <c r="AT242" i="2"/>
  <c r="AT206" i="2"/>
  <c r="AT197" i="2"/>
  <c r="AT170" i="2"/>
  <c r="AT161" i="2"/>
  <c r="AT125" i="2"/>
  <c r="AT116" i="2"/>
  <c r="AT98" i="2"/>
  <c r="AT269" i="2"/>
  <c r="AS170" i="2"/>
  <c r="AS161" i="2"/>
  <c r="AS116" i="2"/>
  <c r="AS269" i="2"/>
  <c r="AR170" i="2"/>
  <c r="AR269" i="2"/>
  <c r="BB202" i="2"/>
  <c r="BC202" i="2"/>
  <c r="BA202" i="2"/>
  <c r="AV189" i="2"/>
  <c r="AW189" i="2"/>
  <c r="BB189" i="2"/>
  <c r="BC189" i="2"/>
  <c r="AV194" i="2"/>
  <c r="AW194" i="2"/>
  <c r="BB194" i="2"/>
  <c r="BC194" i="2"/>
  <c r="BC188" i="2"/>
  <c r="AQ208" i="2"/>
  <c r="Z197" i="2"/>
  <c r="AV198" i="2"/>
  <c r="AW198" i="2"/>
  <c r="BB198" i="2"/>
  <c r="BC198" i="2"/>
  <c r="BC197" i="2"/>
  <c r="BE197" i="2"/>
  <c r="BG197" i="2"/>
  <c r="BC185" i="2"/>
  <c r="T165" i="2"/>
  <c r="T161" i="2"/>
  <c r="BA168" i="2"/>
  <c r="AZ168" i="2"/>
  <c r="AQ165" i="2"/>
  <c r="AQ141" i="2"/>
  <c r="BB130" i="2"/>
  <c r="BC130" i="2"/>
  <c r="BA130" i="2"/>
  <c r="AW126" i="2"/>
  <c r="BB126" i="2"/>
  <c r="BC126" i="2"/>
  <c r="BC125" i="2"/>
  <c r="BE125" i="2"/>
  <c r="BG125" i="2"/>
  <c r="AV135" i="2"/>
  <c r="AW135" i="2"/>
  <c r="BB135" i="2"/>
  <c r="BC135" i="2"/>
  <c r="AV137" i="2"/>
  <c r="AW137" i="2"/>
  <c r="BB137" i="2"/>
  <c r="BC137" i="2"/>
  <c r="BC134" i="2"/>
  <c r="BE134" i="2"/>
  <c r="BG134" i="2"/>
  <c r="AW170" i="2"/>
  <c r="BB104" i="2"/>
  <c r="BC104" i="2"/>
  <c r="AM101" i="2"/>
  <c r="AV101" i="2"/>
  <c r="AW101" i="2"/>
  <c r="BB101" i="2"/>
  <c r="BC101" i="2"/>
  <c r="BB73" i="2"/>
  <c r="BC73" i="2"/>
  <c r="BB78" i="2"/>
  <c r="BC78" i="2"/>
  <c r="BC71" i="2"/>
  <c r="BE71" i="2"/>
  <c r="BG71" i="2"/>
  <c r="BA125" i="2"/>
  <c r="BA78" i="2"/>
  <c r="BB120" i="2"/>
  <c r="BC120" i="2"/>
  <c r="AW117" i="2"/>
  <c r="BB117" i="2"/>
  <c r="BC117" i="2"/>
  <c r="AW119" i="2"/>
  <c r="BB119" i="2"/>
  <c r="BC119" i="2"/>
  <c r="BC116" i="2"/>
  <c r="BE116" i="2"/>
  <c r="BG116" i="2"/>
  <c r="AV105" i="2"/>
  <c r="AW105" i="2"/>
  <c r="AQ105" i="2"/>
  <c r="AV92" i="2"/>
  <c r="AW92" i="2"/>
  <c r="BB92" i="2"/>
  <c r="BC92" i="2"/>
  <c r="BA92" i="2"/>
  <c r="BB105" i="2"/>
  <c r="BC105" i="2"/>
  <c r="BB96" i="2"/>
  <c r="BC96" i="2"/>
  <c r="BA96" i="2"/>
  <c r="BB71" i="2"/>
  <c r="BA73" i="2"/>
  <c r="BA71" i="2"/>
  <c r="AQ111" i="2"/>
  <c r="BC40" i="2"/>
  <c r="BB24" i="2"/>
  <c r="BC24" i="2"/>
  <c r="BA89" i="2"/>
  <c r="BC41" i="2"/>
  <c r="AV18" i="2"/>
  <c r="AQ18" i="2"/>
  <c r="AW18" i="2"/>
  <c r="BC33" i="2"/>
  <c r="AV23" i="2"/>
  <c r="AW23" i="2"/>
  <c r="BB23" i="2"/>
  <c r="BC23" i="2"/>
  <c r="AV90" i="2"/>
  <c r="AW90" i="2"/>
  <c r="BB90" i="2"/>
  <c r="BC90" i="2"/>
  <c r="BC89" i="2"/>
  <c r="BE89" i="2"/>
  <c r="BG89" i="2"/>
  <c r="BB53" i="2"/>
  <c r="AQ19" i="2"/>
  <c r="AV13" i="2"/>
  <c r="AQ13" i="2"/>
  <c r="AW13" i="2"/>
  <c r="AV11" i="2"/>
  <c r="AW11" i="2"/>
  <c r="BB11" i="2"/>
  <c r="BC11" i="2"/>
  <c r="BA11" i="2"/>
  <c r="BB62" i="2"/>
  <c r="BA64" i="2"/>
  <c r="BA62" i="2"/>
  <c r="AZ62" i="2"/>
  <c r="T38" i="2"/>
  <c r="T42" i="2"/>
  <c r="T35" i="2"/>
  <c r="AQ20" i="2"/>
  <c r="BB13" i="2"/>
  <c r="BC13" i="2"/>
  <c r="BA13" i="2"/>
  <c r="AQ15" i="2"/>
  <c r="AV9" i="2"/>
  <c r="AW9" i="2"/>
  <c r="AQ9" i="2"/>
  <c r="AV8" i="2"/>
  <c r="BA9" i="2"/>
  <c r="BA8" i="2"/>
  <c r="BB9" i="2"/>
  <c r="BC9" i="2"/>
  <c r="BC8" i="2"/>
  <c r="BE8" i="2"/>
  <c r="BG8" i="2"/>
  <c r="AD8" i="2"/>
  <c r="AQ10" i="2"/>
  <c r="BB8" i="2"/>
  <c r="AJ8" i="2"/>
  <c r="BJ8" i="2"/>
  <c r="Z8" i="2"/>
  <c r="AQ11" i="2"/>
  <c r="AQ12" i="2"/>
  <c r="AQ21" i="2"/>
  <c r="AQ22" i="2"/>
  <c r="AQ23" i="2"/>
  <c r="AQ17" i="2"/>
  <c r="AQ14" i="2"/>
  <c r="AQ8" i="2"/>
  <c r="AW8" i="2"/>
  <c r="BB18" i="2"/>
  <c r="BC18" i="2"/>
  <c r="BC17" i="2"/>
  <c r="BC38" i="2"/>
  <c r="BC35" i="2"/>
  <c r="BE35" i="2"/>
  <c r="BG35" i="2"/>
  <c r="Z35" i="2"/>
  <c r="AW35" i="2"/>
  <c r="AV35" i="2"/>
  <c r="AU35" i="2"/>
  <c r="AC40" i="2"/>
  <c r="AD53" i="2"/>
  <c r="AC54" i="2"/>
  <c r="AC55" i="2"/>
  <c r="AC56" i="2"/>
  <c r="AC60" i="2"/>
  <c r="AC53" i="2"/>
  <c r="AD17" i="2"/>
  <c r="AJ26" i="2"/>
  <c r="AF32" i="2"/>
  <c r="AF26" i="2"/>
  <c r="AE26" i="2"/>
  <c r="AC32" i="2"/>
  <c r="BC32" i="2"/>
  <c r="AJ44" i="2"/>
  <c r="BA45" i="2"/>
  <c r="BA44" i="2"/>
  <c r="AZ45" i="2"/>
  <c r="AZ44" i="2"/>
  <c r="AQ45" i="2"/>
  <c r="AC46" i="2"/>
  <c r="AQ51" i="2"/>
  <c r="AZ53" i="2"/>
  <c r="Z53" i="2"/>
  <c r="AD62" i="2"/>
  <c r="AC65" i="2"/>
  <c r="AC66" i="2"/>
  <c r="AC62" i="2"/>
  <c r="AF71" i="2"/>
  <c r="BA18" i="2"/>
  <c r="BA17" i="2"/>
  <c r="AZ18" i="2"/>
  <c r="AZ17" i="2"/>
  <c r="AK26" i="2"/>
  <c r="AC39" i="2"/>
  <c r="AC41" i="2"/>
  <c r="AW44" i="2"/>
  <c r="AV44" i="2"/>
  <c r="BB44" i="2"/>
  <c r="AD44" i="2"/>
  <c r="AC45" i="2"/>
  <c r="AC47" i="2"/>
  <c r="AC48" i="2"/>
  <c r="AC49" i="2"/>
  <c r="AC50" i="2"/>
  <c r="AC51" i="2"/>
  <c r="AC44" i="2"/>
  <c r="AJ53" i="2"/>
  <c r="Z62" i="2"/>
  <c r="AW17" i="2"/>
  <c r="AV17" i="2"/>
  <c r="BB17" i="2"/>
  <c r="AD26" i="2"/>
  <c r="AC29" i="2"/>
  <c r="AC31" i="2"/>
  <c r="AC26" i="2"/>
  <c r="AJ35" i="2"/>
  <c r="AF35" i="2"/>
  <c r="AE35" i="2"/>
  <c r="AD35" i="2"/>
  <c r="AC38" i="2"/>
  <c r="AC42" i="2"/>
  <c r="AC35" i="2"/>
  <c r="AQ46" i="2"/>
  <c r="AQ47" i="2"/>
  <c r="AQ44" i="2"/>
  <c r="Z44" i="2"/>
  <c r="AJ62" i="2"/>
  <c r="AF62" i="2"/>
  <c r="AE62" i="2"/>
  <c r="AD71" i="2"/>
  <c r="AC72" i="2"/>
  <c r="AC76" i="2"/>
  <c r="AQ81" i="2"/>
  <c r="BB80" i="2"/>
  <c r="AQ82" i="2"/>
  <c r="Z107" i="2"/>
  <c r="AZ108" i="2"/>
  <c r="AZ107" i="2"/>
  <c r="AC110" i="2"/>
  <c r="AC111" i="2"/>
  <c r="AJ116" i="2"/>
  <c r="AF116" i="2"/>
  <c r="AC73" i="2"/>
  <c r="AC75" i="2"/>
  <c r="AC77" i="2"/>
  <c r="AC78" i="2"/>
  <c r="AC71" i="2"/>
  <c r="AC91" i="2"/>
  <c r="AQ92" i="2"/>
  <c r="AC94" i="2"/>
  <c r="AV99" i="2"/>
  <c r="AQ99" i="2"/>
  <c r="AW99" i="2"/>
  <c r="AW98" i="2"/>
  <c r="AV98" i="2"/>
  <c r="AU98" i="2"/>
  <c r="BB99" i="2"/>
  <c r="AC104" i="2"/>
  <c r="AQ112" i="2"/>
  <c r="AQ114" i="2"/>
  <c r="AQ107" i="2"/>
  <c r="AW107" i="2"/>
  <c r="AV107" i="2"/>
  <c r="BA108" i="2"/>
  <c r="BA107" i="2"/>
  <c r="AD107" i="2"/>
  <c r="AC108" i="2"/>
  <c r="AC112" i="2"/>
  <c r="AD116" i="2"/>
  <c r="AC117" i="2"/>
  <c r="AJ80" i="2"/>
  <c r="AF80" i="2"/>
  <c r="AE80" i="2"/>
  <c r="AZ80" i="2"/>
  <c r="AD80" i="2"/>
  <c r="AQ83" i="2"/>
  <c r="AC90" i="2"/>
  <c r="AC92" i="2"/>
  <c r="AC93" i="2"/>
  <c r="AC95" i="2"/>
  <c r="AC96" i="2"/>
  <c r="AC89" i="2"/>
  <c r="AQ90" i="2"/>
  <c r="AQ95" i="2"/>
  <c r="AQ89" i="2"/>
  <c r="AJ89" i="2"/>
  <c r="AF89" i="2"/>
  <c r="AE89" i="2"/>
  <c r="AW89" i="2"/>
  <c r="AV89" i="2"/>
  <c r="AQ101" i="2"/>
  <c r="AQ98" i="2"/>
  <c r="AJ98" i="2"/>
  <c r="AF98" i="2"/>
  <c r="BB98" i="2"/>
  <c r="BC99" i="2"/>
  <c r="AC102" i="2"/>
  <c r="BB107" i="2"/>
  <c r="AC109" i="2"/>
  <c r="Z116" i="2"/>
  <c r="Z71" i="2"/>
  <c r="AQ80" i="2"/>
  <c r="AW80" i="2"/>
  <c r="AV80" i="2"/>
  <c r="Z89" i="2"/>
  <c r="AD89" i="2"/>
  <c r="BB89" i="2"/>
  <c r="AC99" i="2"/>
  <c r="AD98" i="2"/>
  <c r="AC103" i="2"/>
  <c r="AC105" i="2"/>
  <c r="AC98" i="2"/>
  <c r="Z98" i="2"/>
  <c r="AC113" i="2"/>
  <c r="AC114" i="2"/>
  <c r="AC107" i="2"/>
  <c r="AC118" i="2"/>
  <c r="AC116" i="2"/>
  <c r="AW116" i="2"/>
  <c r="BB116" i="2"/>
  <c r="T127" i="2"/>
  <c r="T132" i="2"/>
  <c r="T125" i="2"/>
  <c r="AC126" i="2"/>
  <c r="AC127" i="2"/>
  <c r="AC132" i="2"/>
  <c r="AC125" i="2"/>
  <c r="AJ125" i="2"/>
  <c r="AF125" i="2"/>
  <c r="AE125" i="2"/>
  <c r="AQ135" i="2"/>
  <c r="AQ136" i="2"/>
  <c r="AQ137" i="2"/>
  <c r="AQ138" i="2"/>
  <c r="AQ139" i="2"/>
  <c r="AQ140" i="2"/>
  <c r="AQ134" i="2"/>
  <c r="AW134" i="2"/>
  <c r="BB134" i="2"/>
  <c r="AC136" i="2"/>
  <c r="AC139" i="2"/>
  <c r="AC145" i="2"/>
  <c r="AJ152" i="2"/>
  <c r="AF152" i="2"/>
  <c r="AV116" i="2"/>
  <c r="AU116" i="2"/>
  <c r="Z125" i="2"/>
  <c r="BB125" i="2"/>
  <c r="AC135" i="2"/>
  <c r="AC138" i="2"/>
  <c r="AC140" i="2"/>
  <c r="AC134" i="2"/>
  <c r="AJ143" i="2"/>
  <c r="Z143" i="2"/>
  <c r="AC149" i="2"/>
  <c r="Z152" i="2"/>
  <c r="AD125" i="2"/>
  <c r="AW125" i="2"/>
  <c r="AV125" i="2"/>
  <c r="AU125" i="2"/>
  <c r="Z134" i="2"/>
  <c r="AD134" i="2"/>
  <c r="AJ134" i="2"/>
  <c r="AC144" i="2"/>
  <c r="AD143" i="2"/>
  <c r="AC147" i="2"/>
  <c r="AC150" i="2"/>
  <c r="AC143" i="2"/>
  <c r="BC147" i="2"/>
  <c r="BC143" i="2"/>
  <c r="BE143" i="2"/>
  <c r="BG143" i="2"/>
  <c r="BB152" i="2"/>
  <c r="BA152" i="2"/>
  <c r="AZ152" i="2"/>
  <c r="AW152" i="2"/>
  <c r="AV152" i="2"/>
  <c r="AJ161" i="2"/>
  <c r="Z170" i="2"/>
  <c r="AJ179" i="2"/>
  <c r="BE188" i="2"/>
  <c r="BG188" i="2"/>
  <c r="AQ189" i="2"/>
  <c r="BA198" i="2"/>
  <c r="BA197" i="2"/>
  <c r="AZ197" i="2"/>
  <c r="AJ206" i="2"/>
  <c r="Z161" i="2"/>
  <c r="AQ163" i="2"/>
  <c r="AQ168" i="2"/>
  <c r="AQ161" i="2"/>
  <c r="AF161" i="2"/>
  <c r="AC173" i="2"/>
  <c r="AQ176" i="2"/>
  <c r="AQ177" i="2"/>
  <c r="AQ192" i="2"/>
  <c r="AQ194" i="2"/>
  <c r="AQ188" i="2"/>
  <c r="BB188" i="2"/>
  <c r="AJ197" i="2"/>
  <c r="AQ209" i="2"/>
  <c r="AD152" i="2"/>
  <c r="AC154" i="2"/>
  <c r="AC156" i="2"/>
  <c r="AC157" i="2"/>
  <c r="AC159" i="2"/>
  <c r="AC152" i="2"/>
  <c r="AZ162" i="2"/>
  <c r="AZ161" i="2"/>
  <c r="BB161" i="2"/>
  <c r="BA162" i="2"/>
  <c r="AJ170" i="2"/>
  <c r="AQ172" i="2"/>
  <c r="AV170" i="2"/>
  <c r="AU170" i="2"/>
  <c r="AQ174" i="2"/>
  <c r="AQ170" i="2"/>
  <c r="Z206" i="2"/>
  <c r="AW206" i="2"/>
  <c r="AV206" i="2"/>
  <c r="AU206" i="2"/>
  <c r="AW161" i="2"/>
  <c r="AV161" i="2"/>
  <c r="AU161" i="2"/>
  <c r="BA161" i="2"/>
  <c r="AD161" i="2"/>
  <c r="AD170" i="2"/>
  <c r="AC171" i="2"/>
  <c r="AC172" i="2"/>
  <c r="AC176" i="2"/>
  <c r="AC177" i="2"/>
  <c r="AC170" i="2"/>
  <c r="BC179" i="2"/>
  <c r="BE179" i="2"/>
  <c r="BG179" i="2"/>
  <c r="AD179" i="2"/>
  <c r="AC182" i="2"/>
  <c r="AC179" i="2"/>
  <c r="AW197" i="2"/>
  <c r="AV197" i="2"/>
  <c r="AU197" i="2"/>
  <c r="AQ198" i="2"/>
  <c r="AQ207" i="2"/>
  <c r="AQ199" i="2"/>
  <c r="AQ197" i="2"/>
  <c r="AD197" i="2"/>
  <c r="AQ210" i="2"/>
  <c r="BB242" i="2"/>
  <c r="BA243" i="2"/>
  <c r="AQ255" i="2"/>
  <c r="AC221" i="2"/>
  <c r="AH269" i="2"/>
  <c r="AJ233" i="2"/>
  <c r="Z179" i="2"/>
  <c r="AW188" i="2"/>
  <c r="AV188" i="2"/>
  <c r="AJ188" i="2"/>
  <c r="BF189" i="2"/>
  <c r="AD188" i="2"/>
  <c r="AC194" i="2"/>
  <c r="AC188" i="2"/>
  <c r="AF197" i="2"/>
  <c r="BB197" i="2"/>
  <c r="AC207" i="2"/>
  <c r="AC209" i="2"/>
  <c r="AC210" i="2"/>
  <c r="AC213" i="2"/>
  <c r="AC206" i="2"/>
  <c r="AQ206" i="2"/>
  <c r="AD206" i="2"/>
  <c r="BB206" i="2"/>
  <c r="BA206" i="2"/>
  <c r="AZ206" i="2"/>
  <c r="AJ215" i="2"/>
  <c r="AF215" i="2"/>
  <c r="AE215" i="2"/>
  <c r="AD215" i="2"/>
  <c r="AC217" i="2"/>
  <c r="AC222" i="2"/>
  <c r="AC215" i="2"/>
  <c r="Z242" i="2"/>
  <c r="Z215" i="2"/>
  <c r="AJ224" i="2"/>
  <c r="AZ243" i="2"/>
  <c r="AZ242" i="2"/>
  <c r="AD233" i="2"/>
  <c r="AC234" i="2"/>
  <c r="AC235" i="2"/>
  <c r="AC236" i="2"/>
  <c r="AC238" i="2"/>
  <c r="AC239" i="2"/>
  <c r="AC240" i="2"/>
  <c r="AC233" i="2"/>
  <c r="BA242" i="2"/>
  <c r="AW242" i="2"/>
  <c r="AV242" i="2"/>
  <c r="AU242" i="2"/>
  <c r="AQ252" i="2"/>
  <c r="AQ253" i="2"/>
  <c r="AQ256" i="2"/>
  <c r="AQ258" i="2"/>
  <c r="AQ251" i="2"/>
  <c r="Z233" i="2"/>
  <c r="BC233" i="2"/>
  <c r="BE233" i="2"/>
  <c r="BG233" i="2"/>
  <c r="AJ242" i="2"/>
  <c r="AF242" i="2"/>
  <c r="AD242" i="2"/>
  <c r="AC243" i="2"/>
  <c r="AC248" i="2"/>
  <c r="AC242" i="2"/>
  <c r="AC252" i="2"/>
  <c r="AC253" i="2"/>
  <c r="AC255" i="2"/>
  <c r="AC256" i="2"/>
  <c r="AC251" i="2"/>
  <c r="AV251" i="2"/>
  <c r="AU251" i="2"/>
  <c r="BB251" i="2"/>
  <c r="BB269" i="2"/>
  <c r="BA260" i="2"/>
  <c r="D387" i="4"/>
  <c r="C373" i="4"/>
  <c r="AW260" i="2"/>
  <c r="AE260" i="2"/>
  <c r="AE269" i="2"/>
  <c r="AD260" i="2"/>
  <c r="AD251" i="2"/>
  <c r="AD269" i="2"/>
  <c r="AC269" i="2"/>
  <c r="AU260" i="2"/>
  <c r="AU269" i="2"/>
  <c r="BC260" i="2"/>
  <c r="BC98" i="2"/>
  <c r="BC26" i="2"/>
  <c r="BC269" i="2"/>
  <c r="BE260" i="2"/>
  <c r="BG260" i="2"/>
  <c r="BE98" i="2"/>
  <c r="BG98" i="2"/>
  <c r="BE26" i="2"/>
  <c r="BG26" i="2"/>
  <c r="BE17" i="2"/>
  <c r="BG17" i="2"/>
  <c r="BG269" i="2"/>
  <c r="J20" i="4"/>
  <c r="K20" i="4"/>
  <c r="AW251" i="2"/>
  <c r="BA251" i="2"/>
  <c r="Z260" i="2"/>
  <c r="Z251" i="2"/>
  <c r="Z269" i="2"/>
  <c r="AF260" i="2"/>
  <c r="AF251" i="2"/>
  <c r="AF269" i="2"/>
  <c r="AV260" i="2"/>
  <c r="AV269" i="2"/>
  <c r="AZ260" i="2"/>
  <c r="AZ269" i="2"/>
  <c r="BH269" i="2"/>
  <c r="J49" i="4"/>
  <c r="K49" i="4"/>
  <c r="AJ251" i="2"/>
  <c r="AJ260" i="2"/>
  <c r="AG269" i="2"/>
  <c r="AW269" i="2"/>
  <c r="BA269" i="2"/>
  <c r="BE269" i="2"/>
  <c r="J39" i="4"/>
  <c r="K39" i="4"/>
  <c r="J31" i="4"/>
  <c r="K31" i="4"/>
  <c r="AK44" i="2"/>
  <c r="J192" i="4"/>
  <c r="K192" i="4"/>
  <c r="G192" i="4"/>
  <c r="J128" i="4"/>
  <c r="K128" i="4"/>
  <c r="AK35" i="2"/>
  <c r="J373" i="4"/>
  <c r="K373" i="4"/>
  <c r="J160" i="4"/>
  <c r="K160" i="4"/>
  <c r="J108" i="4"/>
  <c r="K108" i="4"/>
  <c r="J363" i="4"/>
  <c r="K363" i="4"/>
  <c r="J249" i="4"/>
  <c r="K249" i="4"/>
  <c r="G249" i="4"/>
  <c r="J210" i="4"/>
  <c r="K210" i="4"/>
  <c r="G210" i="4"/>
  <c r="AK53" i="2"/>
  <c r="J64" i="4"/>
  <c r="K64" i="4"/>
  <c r="J281" i="4"/>
  <c r="K281" i="4"/>
  <c r="J130" i="4"/>
  <c r="J131" i="4"/>
  <c r="C387" i="4"/>
  <c r="AK98" i="2"/>
  <c r="J137" i="4"/>
  <c r="K137" i="4"/>
  <c r="AK134" i="2"/>
  <c r="AK188" i="2"/>
  <c r="AK197" i="2"/>
  <c r="J292" i="4"/>
  <c r="K292" i="4"/>
  <c r="AK215" i="2"/>
  <c r="J313" i="4"/>
  <c r="K313" i="4"/>
  <c r="AK242" i="2"/>
  <c r="J355" i="4"/>
  <c r="K355" i="4"/>
  <c r="AK62" i="2"/>
  <c r="J78" i="4"/>
  <c r="K78" i="4"/>
  <c r="AK80" i="2"/>
  <c r="AK116" i="2"/>
  <c r="AK125" i="2"/>
  <c r="J181" i="4"/>
  <c r="K181" i="4"/>
  <c r="AK152" i="2"/>
  <c r="J219" i="4"/>
  <c r="K219" i="4"/>
  <c r="AK170" i="2"/>
  <c r="AJ107" i="2"/>
  <c r="AK107" i="2"/>
  <c r="J151" i="4"/>
  <c r="K151" i="4"/>
  <c r="AK224" i="2"/>
  <c r="J326" i="4"/>
  <c r="K326" i="4"/>
  <c r="AJ71" i="2"/>
  <c r="AK71" i="2"/>
  <c r="J93" i="4"/>
  <c r="K93" i="4"/>
  <c r="F389" i="4"/>
  <c r="AK89" i="2"/>
  <c r="AK143" i="2"/>
  <c r="AK161" i="2"/>
  <c r="J235" i="4"/>
  <c r="K235" i="4"/>
  <c r="AK179" i="2"/>
  <c r="J263" i="4"/>
  <c r="K263" i="4"/>
  <c r="AK206" i="2"/>
  <c r="J303" i="4"/>
  <c r="K303" i="4"/>
  <c r="AK233" i="2"/>
  <c r="J343" i="4"/>
  <c r="K343" i="4"/>
  <c r="AK8" i="2"/>
  <c r="AK251" i="2"/>
  <c r="AK260" i="2"/>
  <c r="J385" i="4"/>
  <c r="K385" i="4"/>
</calcChain>
</file>

<file path=xl/comments1.xml><?xml version="1.0" encoding="utf-8"?>
<comments xmlns="http://schemas.openxmlformats.org/spreadsheetml/2006/main">
  <authors>
    <author>Gordeev Konstantin</author>
  </authors>
  <commentList>
    <comment ref="AZ41" authorId="0">
      <text>
        <r>
          <rPr>
            <sz val="9"/>
            <rFont val="Tahoma"/>
            <family val="2"/>
            <charset val="204"/>
          </rPr>
          <t xml:space="preserve">{datacolumn гр. 4}
{calcformula =IF({0}=-1;"…1)";{0})}
</t>
        </r>
      </text>
    </comment>
  </commentList>
</comments>
</file>

<file path=xl/sharedStrings.xml><?xml version="1.0" encoding="utf-8"?>
<sst xmlns="http://schemas.openxmlformats.org/spreadsheetml/2006/main" count="2495" uniqueCount="928">
  <si>
    <t>27</t>
  </si>
  <si>
    <t>педагогические работники образовательных организаций, реализующие программы дошкольного образования</t>
  </si>
  <si>
    <t>Сасовский муниципальный район</t>
  </si>
  <si>
    <t>Спасский муниципальный район</t>
  </si>
  <si>
    <t>педагогические работники образовательных организаций, реализующие программы общего образования</t>
  </si>
  <si>
    <t>Сараевский муниципальный район</t>
  </si>
  <si>
    <t>0606048_с_доп_столбцами|Таблица|Категория персонала</t>
  </si>
  <si>
    <t>Средняя численность работников в 2015 г., человек:внешних совместителей</t>
  </si>
  <si>
    <t>врачи (кроме зубных), включая врачей - руководителей структурных подразделений</t>
  </si>
  <si>
    <t>Фонд ЗП работников в 2015 г. списочного состава (без внешних совместителей):всего, с коммунальными льготами</t>
  </si>
  <si>
    <t>прочий персонал</t>
  </si>
  <si>
    <t>Пронский муниципальный район</t>
  </si>
  <si>
    <t>Милославский муниципальный район</t>
  </si>
  <si>
    <t>31</t>
  </si>
  <si>
    <t>Рыбновский муниципальный район</t>
  </si>
  <si>
    <t>Сапожковский муниципальный район</t>
  </si>
  <si>
    <t>Путятинский  муниципальный район</t>
  </si>
  <si>
    <t>из них учителя</t>
  </si>
  <si>
    <t>средний медицинский (фармацевтический) персонал (персонал,обеспечивающий условия для предоставления медицинских услуг)</t>
  </si>
  <si>
    <t>20</t>
  </si>
  <si>
    <t>Захаровский муниципальный район</t>
  </si>
  <si>
    <t>Кораблинский муниципальный район</t>
  </si>
  <si>
    <t>Ухоловский муниципальный район</t>
  </si>
  <si>
    <t>работники культуры</t>
  </si>
  <si>
    <t>Кадомский муниципальный район</t>
  </si>
  <si>
    <t>Средняя численность работников в 2015 г., человек: списочного состава</t>
  </si>
  <si>
    <t>24</t>
  </si>
  <si>
    <t>Областной бюджет Рязанской области</t>
  </si>
  <si>
    <t>Клепиковский муниципальный район</t>
  </si>
  <si>
    <t>Ермишинский муниципальный район</t>
  </si>
  <si>
    <t>Всего работников (сумма строк 02 - 05,07,08,11,14,17-19,21,23-28)</t>
  </si>
  <si>
    <t>21</t>
  </si>
  <si>
    <t>28</t>
  </si>
  <si>
    <t>33</t>
  </si>
  <si>
    <t>Наименование бюджета</t>
  </si>
  <si>
    <t>Шацкий муниципальный район</t>
  </si>
  <si>
    <t>Скопинский муниципальный район</t>
  </si>
  <si>
    <t>25</t>
  </si>
  <si>
    <t>Рязанский  муниципальный район</t>
  </si>
  <si>
    <t>30</t>
  </si>
  <si>
    <t>Александро-Невский муниципальный район</t>
  </si>
  <si>
    <t>Михайловский муниципальный район</t>
  </si>
  <si>
    <t>22</t>
  </si>
  <si>
    <t>город Рязань</t>
  </si>
  <si>
    <t>город Сасово</t>
  </si>
  <si>
    <t>город Касимов</t>
  </si>
  <si>
    <t>Ряжский муниципального района</t>
  </si>
  <si>
    <t>Чучковский муниципальный район</t>
  </si>
  <si>
    <t>Касимовский муниципальный район</t>
  </si>
  <si>
    <t>заместители руководителя,руководители структурных подразделений (кроме врачей-руководителей структурных подразделений) и их заместители</t>
  </si>
  <si>
    <t>город Скопин</t>
  </si>
  <si>
    <t>Пителинский муниципальный район</t>
  </si>
  <si>
    <t>руководитель организации</t>
  </si>
  <si>
    <t>Старожиловский муниципальный район</t>
  </si>
  <si>
    <t>Шиловский муниципальный район</t>
  </si>
  <si>
    <t>Школы</t>
  </si>
  <si>
    <t>Категория персонала</t>
  </si>
  <si>
    <t>Фонд ЗП работников в 2015 г: внешних совместителей: всего, с коммунальными льготами</t>
  </si>
  <si>
    <t>(из гр.22) ср-ва от приносящей доход деятельности</t>
  </si>
  <si>
    <t>(из гр.24) за счет средств бюджетов всех уровней</t>
  </si>
  <si>
    <t>(из гр.24) ср-ва от приносящей доход деятельности</t>
  </si>
  <si>
    <t>(из гр.22) коммунальные льготы</t>
  </si>
  <si>
    <t xml:space="preserve"> (из гр.24) коммунальные льготы</t>
  </si>
  <si>
    <t>списочного состава</t>
  </si>
  <si>
    <t>внешних совм</t>
  </si>
  <si>
    <t>внешних совместителей</t>
  </si>
  <si>
    <t>в том числе:</t>
  </si>
  <si>
    <t>бюджет</t>
  </si>
  <si>
    <t>внебюджет</t>
  </si>
  <si>
    <t>коммуналка</t>
  </si>
  <si>
    <t>Ал-Невский</t>
  </si>
  <si>
    <t>Руководители</t>
  </si>
  <si>
    <t>Заместители</t>
  </si>
  <si>
    <t>врачи</t>
  </si>
  <si>
    <t>м/сестры</t>
  </si>
  <si>
    <t>Ермишинский</t>
  </si>
  <si>
    <t>ПедработникиООУ</t>
  </si>
  <si>
    <t>ПедработникиДОУ</t>
  </si>
  <si>
    <t>Внебюджет</t>
  </si>
  <si>
    <t>Коммуналка</t>
  </si>
  <si>
    <t>Учебные расходы</t>
  </si>
  <si>
    <t>Всего</t>
  </si>
  <si>
    <t>Фонд з/пл Бюджет Субвенция</t>
  </si>
  <si>
    <t>Разница</t>
  </si>
  <si>
    <t>2015 год (отчет)</t>
  </si>
  <si>
    <t>Захаровский</t>
  </si>
  <si>
    <t>Кадомский</t>
  </si>
  <si>
    <t>Г.Рязань</t>
  </si>
  <si>
    <t>ФОТ 2015-2016</t>
  </si>
  <si>
    <t>Касимовский</t>
  </si>
  <si>
    <t>Клепиковский</t>
  </si>
  <si>
    <t>Распределение фондов 2015-2016 гг.</t>
  </si>
  <si>
    <t>Кораблинский</t>
  </si>
  <si>
    <r>
      <t xml:space="preserve">(из гр.22) за счет средств бюджетов всех уровней </t>
    </r>
    <r>
      <rPr>
        <sz val="10"/>
        <color rgb="FFFF0000"/>
        <rFont val="Arial"/>
        <family val="2"/>
        <charset val="204"/>
      </rPr>
      <t>(с коммуналкой)</t>
    </r>
  </si>
  <si>
    <t>Милославский</t>
  </si>
  <si>
    <t>бюджет Субвенция</t>
  </si>
  <si>
    <t>Михайловский</t>
  </si>
  <si>
    <t>Пителинский</t>
  </si>
  <si>
    <t>Пронский</t>
  </si>
  <si>
    <t>Путятинский</t>
  </si>
  <si>
    <t>Рыбновский</t>
  </si>
  <si>
    <t>Приложение 2</t>
  </si>
  <si>
    <t>Александроневский</t>
  </si>
  <si>
    <t>Наименование учреждения (юр.лица)</t>
  </si>
  <si>
    <t>Численность обучающихся и воспитанников дошкольных групп, чел</t>
  </si>
  <si>
    <t>Объемы субвенций, руб</t>
  </si>
  <si>
    <t>полнокомплектные,  расположенные в ПГТ и городской местности</t>
  </si>
  <si>
    <t>Ал-Невская СОШ</t>
  </si>
  <si>
    <t>Всего полнокомплектные,  располож.в ПГТ и городской местн.</t>
  </si>
  <si>
    <t>малокомплектные и расположенные в сельской местности</t>
  </si>
  <si>
    <t>МБДОУ Студенковская СОШ</t>
  </si>
  <si>
    <t>МБДОУ Просеченская СОШ</t>
  </si>
  <si>
    <t>МБДОУ Зимаровская ООШ</t>
  </si>
  <si>
    <t>МБДОУ Калининская ООШ</t>
  </si>
  <si>
    <t>МБДОУ Ленинская СОШ</t>
  </si>
  <si>
    <t>Всего малокомплектные и располож. и сельской местн.</t>
  </si>
  <si>
    <t>ИТОГО</t>
  </si>
  <si>
    <t>МОУ "Ермишинская средняя школа"</t>
  </si>
  <si>
    <t>МОУ "Азеевская средняя школа"</t>
  </si>
  <si>
    <t>МОУ "Нарминская средняя школа"</t>
  </si>
  <si>
    <t>МОУ "Савватемская средняя школа"</t>
  </si>
  <si>
    <t>Захаровская СОШ № 1</t>
  </si>
  <si>
    <t>Захаровская СОШ № 2</t>
  </si>
  <si>
    <t>Безлыченская СОШ</t>
  </si>
  <si>
    <t>Б-Коровинская СОШ</t>
  </si>
  <si>
    <t>МОУ Кадомская СШ</t>
  </si>
  <si>
    <t>МОУ Енкаевская школа</t>
  </si>
  <si>
    <t>МОУ Котелинская школа</t>
  </si>
  <si>
    <t>МОУ Кущапинская школа</t>
  </si>
  <si>
    <t>МОУ Гусевская СОШ</t>
  </si>
  <si>
    <t>МОУ Елатомская СОШ</t>
  </si>
  <si>
    <t>МОУ Сынтульская СОШ</t>
  </si>
  <si>
    <t>МОУ Торбаевская СОШ</t>
  </si>
  <si>
    <t>МОУ Новодеревенская СОШ</t>
  </si>
  <si>
    <t>МОУ Крутоярская СОШ</t>
  </si>
  <si>
    <t>МОУ Гиблицкая СОШ</t>
  </si>
  <si>
    <t>МОУ Шостьенская СОШ</t>
  </si>
  <si>
    <t>МОУ Лашманская ООШ</t>
  </si>
  <si>
    <t>Клепиковская СОШ № 1</t>
  </si>
  <si>
    <t>Тумская СОШ № 3</t>
  </si>
  <si>
    <t>Тумская СОШ № 46</t>
  </si>
  <si>
    <t>Болоньская СОШ</t>
  </si>
  <si>
    <t>Екшурская СОШ</t>
  </si>
  <si>
    <t>Волчковская ООШ</t>
  </si>
  <si>
    <t>Криушинская СОШ</t>
  </si>
  <si>
    <t>Колесниковская СОШ</t>
  </si>
  <si>
    <t>МОУ Кораблинская СОШ №2</t>
  </si>
  <si>
    <t xml:space="preserve">МОУ Кораблинская СОШ имени Героя РФ И.В. Сарычева </t>
  </si>
  <si>
    <t xml:space="preserve">МОУ Кораблинская СОШ №1 </t>
  </si>
  <si>
    <t xml:space="preserve">МОУ Ерлинская ООШ </t>
  </si>
  <si>
    <t xml:space="preserve">МОУ Кипчаковская СОШ </t>
  </si>
  <si>
    <t xml:space="preserve">МОУ Ключанская СОШ </t>
  </si>
  <si>
    <t xml:space="preserve">МОУ Пехлецкая СОШ им. В.В. Соловова </t>
  </si>
  <si>
    <t xml:space="preserve">МОУ Пустотинская СОШ </t>
  </si>
  <si>
    <t xml:space="preserve">МОУ Яблоневская ООШ </t>
  </si>
  <si>
    <t>Милославская  школа</t>
  </si>
  <si>
    <t>Чернавская школа</t>
  </si>
  <si>
    <t>Кочуровская школа</t>
  </si>
  <si>
    <t>Центральная школа</t>
  </si>
  <si>
    <t>Больше-Подовеченская школа</t>
  </si>
  <si>
    <t>Павловская школа</t>
  </si>
  <si>
    <t>Липяговская школа</t>
  </si>
  <si>
    <t>Октябрьская школа</t>
  </si>
  <si>
    <t>Центральная Вечерняя школа</t>
  </si>
  <si>
    <t>МОУ "Михайловская СОШ №1"</t>
  </si>
  <si>
    <t>МОУ "Михайловская СОШ №2"</t>
  </si>
  <si>
    <t>МОУ "Михайловская СОШ №3"</t>
  </si>
  <si>
    <t>МОУ "Октябрьская СОШ №2"</t>
  </si>
  <si>
    <t>МОУ "Виленская СОШ"</t>
  </si>
  <si>
    <t>МОУ "Голдинская СОШ"</t>
  </si>
  <si>
    <t>МОУ "Слободская СОШ"</t>
  </si>
  <si>
    <t>МОУ "Чапаевская СОШ"</t>
  </si>
  <si>
    <t>МОУ "Заревская СОШ"</t>
  </si>
  <si>
    <t>МОУ "Трепольская СОШ"</t>
  </si>
  <si>
    <t>МОУ "Печерне-Высельская ООШ"</t>
  </si>
  <si>
    <t>МОУ "Поярковская ООШ"</t>
  </si>
  <si>
    <t>МОУ "Чуриковская ООШ"</t>
  </si>
  <si>
    <t>Пителинская СОШ</t>
  </si>
  <si>
    <t>В-Полянская СОШ</t>
  </si>
  <si>
    <t>Нестеровская ООШ</t>
  </si>
  <si>
    <t>МОУ "Новомичуринская СОШ №1"</t>
  </si>
  <si>
    <t>МОУ "Новомичуринская СОШ №2"</t>
  </si>
  <si>
    <t>МОУ "Новомичуринская СОШ №3"</t>
  </si>
  <si>
    <t>МОУ "Пронская СОШ"</t>
  </si>
  <si>
    <t>МОУ "Малинищинская СОШ"</t>
  </si>
  <si>
    <t>МОЛУ "Тырновская СОШ"</t>
  </si>
  <si>
    <t>МОУ "Октябрьская СОШ"</t>
  </si>
  <si>
    <t>МОУ "Мамоновская ООШ"</t>
  </si>
  <si>
    <t>МОУ "Путятинская СОШ"</t>
  </si>
  <si>
    <t>МОУ Песоченская СОШ</t>
  </si>
  <si>
    <t>МОУ Береговская ООШ</t>
  </si>
  <si>
    <t>МОУ Карабухинская ООШ</t>
  </si>
  <si>
    <t>МОУ Ново-Деревенская ООШ</t>
  </si>
  <si>
    <t>МБОУ РСШ №1</t>
  </si>
  <si>
    <t>МБОУ РСШ №2</t>
  </si>
  <si>
    <t>МБОУ РСШ №3</t>
  </si>
  <si>
    <t>МБОУ РСШ №4</t>
  </si>
  <si>
    <t>МБОУ РОШ №5</t>
  </si>
  <si>
    <t>МБОУ Алешинская Ош</t>
  </si>
  <si>
    <t>МБОУ Баграмовская СШ</t>
  </si>
  <si>
    <t>МБОУ Батуринская ОШ</t>
  </si>
  <si>
    <t>МБОУ Высоковская СШ</t>
  </si>
  <si>
    <t>МБОУ Костинская СШ</t>
  </si>
  <si>
    <t>МБОУ Кузьминская СШ</t>
  </si>
  <si>
    <t>МБОУ Перекальская ОШ</t>
  </si>
  <si>
    <t>МБОУ Пионерская ОШ</t>
  </si>
  <si>
    <t>МБОУ Чурилковская СШ</t>
  </si>
  <si>
    <t>Ряжский</t>
  </si>
  <si>
    <t>МОУ " Ряжская СОШ № 1 "</t>
  </si>
  <si>
    <t>МОУ " Ряжская СОШ № 2 "</t>
  </si>
  <si>
    <t>МОУ " Ряжская СОШ № 3 "</t>
  </si>
  <si>
    <t>МОУ " Ряжская СОШ № 4 "</t>
  </si>
  <si>
    <t>Рязанский</t>
  </si>
  <si>
    <t>Александровская</t>
  </si>
  <si>
    <t>Варсковская</t>
  </si>
  <si>
    <t>Екимовская</t>
  </si>
  <si>
    <t>Заборьевская</t>
  </si>
  <si>
    <t>Заокская</t>
  </si>
  <si>
    <t>Искровская</t>
  </si>
  <si>
    <t>Листвянская</t>
  </si>
  <si>
    <t>Льговская</t>
  </si>
  <si>
    <t>Мурминская</t>
  </si>
  <si>
    <t>Окская</t>
  </si>
  <si>
    <t>Подвязьевская</t>
  </si>
  <si>
    <t>Полянская</t>
  </si>
  <si>
    <t>Рязанская</t>
  </si>
  <si>
    <t>Стенькинская</t>
  </si>
  <si>
    <t>Сапожковский</t>
  </si>
  <si>
    <t>МОУ Сапожковская СШ им.Тучина А И</t>
  </si>
  <si>
    <t xml:space="preserve">МОУ Морозово-Борковская СШ   </t>
  </si>
  <si>
    <t xml:space="preserve">МОУ Канинская СШ </t>
  </si>
  <si>
    <t>Сараевский</t>
  </si>
  <si>
    <t>МОУ Сараевская СОШ</t>
  </si>
  <si>
    <t>МОУ Алексеевская СОШ</t>
  </si>
  <si>
    <t>МОУ Борецкая СОШ</t>
  </si>
  <si>
    <t>МОУ Карл-Марксовская СОШ</t>
  </si>
  <si>
    <t>МОУ Можарская СОШ</t>
  </si>
  <si>
    <t>Муравлянская СОШ</t>
  </si>
  <si>
    <t>Новобокинская СОШ</t>
  </si>
  <si>
    <t>Напольновская СОШ</t>
  </si>
  <si>
    <t>Сасовский</t>
  </si>
  <si>
    <t>Скопинский</t>
  </si>
  <si>
    <t>МБОУ "Побединская СОШ"</t>
  </si>
  <si>
    <t>МБОУ "Вослебовская СОШ"</t>
  </si>
  <si>
    <t>МБОУ "Горловская СОШ"</t>
  </si>
  <si>
    <t>МБОУ "Ильинская СОШ"</t>
  </si>
  <si>
    <t>МБОУ "Корневская СОШ"</t>
  </si>
  <si>
    <t>МБОУ "Мало-Шелемишевская СОШ"</t>
  </si>
  <si>
    <t>МБОУ "Павелецкая СОШ №1"</t>
  </si>
  <si>
    <t>МБОУ "Чулковская СОШ"</t>
  </si>
  <si>
    <t>Спасский</t>
  </si>
  <si>
    <t>МБОУ Спасская СОШ</t>
  </si>
  <si>
    <t>МБОУ Спасская гимназия</t>
  </si>
  <si>
    <t>МБОУ Кирицкая СОШ</t>
  </si>
  <si>
    <t>МБОУ Ижевская СОШ</t>
  </si>
  <si>
    <t>МБОУ Панинская ООШ</t>
  </si>
  <si>
    <t>МБОУ Троицкая СОШ</t>
  </si>
  <si>
    <t>МБОУ Веретьинская СОШ</t>
  </si>
  <si>
    <t>МБОУ Выжелесская ООШ</t>
  </si>
  <si>
    <t>МБОУ Перкинская СОШ</t>
  </si>
  <si>
    <t>МБОУ Исадская СОШ</t>
  </si>
  <si>
    <t>Старожилово</t>
  </si>
  <si>
    <t>Старожиловская СОШ</t>
  </si>
  <si>
    <t>Столпянская СОШ</t>
  </si>
  <si>
    <t>Хрущевская СОШ</t>
  </si>
  <si>
    <t>СОШ Рязанские сады</t>
  </si>
  <si>
    <t>Истьинская СОШ</t>
  </si>
  <si>
    <t>Ухоловский</t>
  </si>
  <si>
    <t>МБОУ Ухоловская СШ</t>
  </si>
  <si>
    <t>МБОУ  Калининская СШ СШ</t>
  </si>
  <si>
    <t>МБОУ Коноплинская СШ</t>
  </si>
  <si>
    <t>МБОУ Покровская СШ</t>
  </si>
  <si>
    <t>МБОУ Смолеевская ОШ</t>
  </si>
  <si>
    <t>Чучковский</t>
  </si>
  <si>
    <t>МОУ "Чучковская средняя школа"</t>
  </si>
  <si>
    <t>МОУ "Пертовская школа"</t>
  </si>
  <si>
    <t>МОУ "Аладьинская школа"</t>
  </si>
  <si>
    <t>МОУ "Назаровская школа"</t>
  </si>
  <si>
    <t>Шацкий</t>
  </si>
  <si>
    <t>Шацкая СОШ</t>
  </si>
  <si>
    <t>Казачинская СШ</t>
  </si>
  <si>
    <t>Чернослободская ОШ</t>
  </si>
  <si>
    <t>Лесно-Конобеевская СШ</t>
  </si>
  <si>
    <t>Лесно-Полянская СШ</t>
  </si>
  <si>
    <t>Польно-Ялтуновская СШ</t>
  </si>
  <si>
    <t>Важшовская СШ</t>
  </si>
  <si>
    <t>Шилово</t>
  </si>
  <si>
    <t>МБОУ "Шиловская сош №1"</t>
  </si>
  <si>
    <t>МБОУ "Шиловская сош №2"</t>
  </si>
  <si>
    <t>МБОУ "Шиловская сош №3"</t>
  </si>
  <si>
    <t>МБОУ"Лесновская сош"</t>
  </si>
  <si>
    <t>МБОУ Занино-Починковская СОШ</t>
  </si>
  <si>
    <t>МБОУ  Санская ООШ</t>
  </si>
  <si>
    <t>МБОУ  Желудевская СОШ</t>
  </si>
  <si>
    <t>МБОУ  Борковская СОШ</t>
  </si>
  <si>
    <t>МБОУ  Ерахтурская СОШ</t>
  </si>
  <si>
    <t>МБОУ  Инякинская СОШ</t>
  </si>
  <si>
    <t>МБОУ  Мосоловская СОШ</t>
  </si>
  <si>
    <t>Г.Касимов</t>
  </si>
  <si>
    <t>МБОУ СОШ №1</t>
  </si>
  <si>
    <t>МБОУ СОШ №2</t>
  </si>
  <si>
    <t>МБОУ СОШ №3</t>
  </si>
  <si>
    <t>МБОУ СОШ №4</t>
  </si>
  <si>
    <t>МБОУ СОШ №6</t>
  </si>
  <si>
    <t>МБОУ СОШ №7</t>
  </si>
  <si>
    <t>СОШ № 38 (филиал)</t>
  </si>
  <si>
    <t>Остальные СОШ</t>
  </si>
  <si>
    <t>СОШ № 32</t>
  </si>
  <si>
    <t>СОШ № 29</t>
  </si>
  <si>
    <t>Г.Сасово</t>
  </si>
  <si>
    <t>МБОУ ООШ №2</t>
  </si>
  <si>
    <t>МБОУ СОШ №106</t>
  </si>
  <si>
    <t>Г.Скопин</t>
  </si>
  <si>
    <t>МБОУ СОШ №1                      (с  филиалом "Октябрьская сош" и структурным подразделением  "УКП"</t>
  </si>
  <si>
    <t xml:space="preserve">МБОУ СОШ №2 </t>
  </si>
  <si>
    <t>МБОУ СОШ им.Горького</t>
  </si>
  <si>
    <t>МБОУ ООШ №5</t>
  </si>
  <si>
    <t>Полнокомплектные</t>
  </si>
  <si>
    <t>Малокомплектные</t>
  </si>
  <si>
    <t>№        п/п</t>
  </si>
  <si>
    <r>
      <t xml:space="preserve">Наименование </t>
    </r>
    <r>
      <rPr>
        <b/>
        <sz val="14"/>
        <color indexed="10"/>
        <rFont val="Times New Roman"/>
        <family val="1"/>
        <charset val="204"/>
      </rPr>
      <t xml:space="preserve"> полнокомплектной</t>
    </r>
    <r>
      <rPr>
        <b/>
        <sz val="14"/>
        <rFont val="Times New Roman"/>
        <family val="1"/>
        <charset val="204"/>
      </rPr>
      <t xml:space="preserve"> муниципальной организации, расположенной в г</t>
    </r>
    <r>
      <rPr>
        <b/>
        <u/>
        <sz val="14"/>
        <rFont val="Times New Roman"/>
        <family val="1"/>
        <charset val="204"/>
      </rPr>
      <t xml:space="preserve">ородской местности и в поселках городского типа  </t>
    </r>
    <r>
      <rPr>
        <b/>
        <sz val="14"/>
        <rFont val="Times New Roman"/>
        <family val="1"/>
        <charset val="204"/>
      </rPr>
      <t>и ее структурных подразделений (филиалов)</t>
    </r>
  </si>
  <si>
    <t>месторасположение организации (город, ПГТ)</t>
  </si>
  <si>
    <t>Объем субвенции на реализацию общеобразовательных программ в дневных общеобразовательных организациях</t>
  </si>
  <si>
    <r>
      <t xml:space="preserve">Объем субвенции бюджету i-го муниципального района (городского округа) на реализацию основных общеобразо-вательных программ в дневных общеобразо-вательных организациях на очередной финансовый год и плановый период без учета обучающихся, проживающих в дневных общеобразовательных организациях, имеющих интернат
   </t>
    </r>
    <r>
      <rPr>
        <b/>
        <sz val="9"/>
        <rFont val="Times New Roman"/>
        <family val="1"/>
        <charset val="204"/>
      </rPr>
      <t>S</t>
    </r>
    <r>
      <rPr>
        <b/>
        <vertAlign val="subscript"/>
        <sz val="9"/>
        <rFont val="Times New Roman"/>
        <family val="1"/>
        <charset val="204"/>
      </rPr>
      <t>i</t>
    </r>
    <r>
      <rPr>
        <b/>
        <vertAlign val="superscript"/>
        <sz val="9"/>
        <rFont val="Times New Roman"/>
        <family val="1"/>
        <charset val="204"/>
      </rPr>
      <t>у</t>
    </r>
  </si>
  <si>
    <r>
      <t xml:space="preserve">Корректирующий коэффициент, связанный с невозможностью достижения нормативной наполняемости классов в муниципальных общеобразовательных организациях, расположенных в рабочих поселках (поселках городского типа), и наличием структурных подразделений (филиалов), в i-м муниципальном районе (городском округе), 
</t>
    </r>
    <r>
      <rPr>
        <b/>
        <sz val="9"/>
        <rFont val="Times New Roman"/>
        <family val="1"/>
        <charset val="204"/>
      </rPr>
      <t>k</t>
    </r>
    <r>
      <rPr>
        <b/>
        <vertAlign val="subscript"/>
        <sz val="9"/>
        <rFont val="Times New Roman"/>
        <family val="1"/>
        <charset val="204"/>
      </rPr>
      <t>i</t>
    </r>
  </si>
  <si>
    <t>Объем субвенции на реализацию основных общеобразовательных программ в общеобразовательных организациях, имеющих интернат, а также в дневных общеобазовательных организациях применительно к обучающимся, проживающим в дневных общеобразовательных организациях, имеющих интернат</t>
  </si>
  <si>
    <t>Объем субвенции на реализацию основных общеобразовательных программ в вечерних (сменных) общеобразовательных организациях, классах очно-заочного обучения, учебно-консультационных пунктах при дневных общеобразовательных организациях</t>
  </si>
  <si>
    <t xml:space="preserve">Объем субвенции на реализацию основных общеобразовательных программ в вечерних (сменных) общеобразовательных организациях и учебно-консультационных пунктах при исправительных учреждениях </t>
  </si>
  <si>
    <t>Численность обучающихся всего по полноком-плектным школам</t>
  </si>
  <si>
    <t xml:space="preserve">  Общеобразовательные классы дневных общеобразовательных организаций   </t>
  </si>
  <si>
    <t xml:space="preserve">Специализированные классы и классы с углубленным изучением отдельных предметов дневных общеобразовательных организаций (кроме специализированных общеобразовательных организаций) </t>
  </si>
  <si>
    <t>Специализированные классы и классы с углубленным изучением отдельных предметов специализированных общеобразовательных организаций</t>
  </si>
  <si>
    <t>Классы компенсирующего обучения дневных общеобразовательных организаций</t>
  </si>
  <si>
    <t xml:space="preserve">Индивидуальное обучение детей на дому    </t>
  </si>
  <si>
    <t>Обучение детей, находящихся на длительном лечении в медицинских организациях</t>
  </si>
  <si>
    <t>Обучение воспитанников дошкольных групп дневных общеобразовательных организаций, реализующих образовательную программу дошкольного образования</t>
  </si>
  <si>
    <t>Общеобразовательные классы  общеобразовательных организаций, имеющих интернат</t>
  </si>
  <si>
    <t>Классы компенсирующего обучения  общеобразовательных организаций</t>
  </si>
  <si>
    <r>
      <t xml:space="preserve">Объем субвенции бюджету i-го муниципального района (городского округа) на реализацию общеобразовательных программ в общеобразовательных организациях, имеющих интернат, а также в дневных общеобразовательных организациях применительно к обучающимся, проживающим в дневных общеобразовательныхз организациях, имеющих интернат, на очередной финансовый год и плановый период       
</t>
    </r>
    <r>
      <rPr>
        <b/>
        <sz val="9"/>
        <rFont val="Times New Roman"/>
        <family val="1"/>
        <charset val="204"/>
      </rPr>
      <t>S</t>
    </r>
    <r>
      <rPr>
        <b/>
        <vertAlign val="subscript"/>
        <sz val="9"/>
        <rFont val="Times New Roman"/>
        <family val="1"/>
        <charset val="204"/>
      </rPr>
      <t>i</t>
    </r>
    <r>
      <rPr>
        <b/>
        <vertAlign val="superscript"/>
        <sz val="9"/>
        <rFont val="Times New Roman"/>
        <family val="1"/>
        <charset val="204"/>
      </rPr>
      <t>u</t>
    </r>
  </si>
  <si>
    <t>2 уровень (n)</t>
  </si>
  <si>
    <t>3 уровень (n)</t>
  </si>
  <si>
    <t>4 уровень (n)</t>
  </si>
  <si>
    <t>Объем субвенции для общеобразо-вательных классов дневных общеобразо-вательных организаций</t>
  </si>
  <si>
    <t>Объем субвенции для специализированных классов и классов с углубленным изучением отдельных предметов дневных общеобразовательных организаций (кроме специализированных общеобразовательных организаций)</t>
  </si>
  <si>
    <t xml:space="preserve"> Объем субвенции для специализированных классов и классов с углубленным изучением отдельных предметов специализированных общеобразовательных организаций</t>
  </si>
  <si>
    <t>Объем субвенции для классов компенсирующего обучения дневных общеобразо-вательных организаций</t>
  </si>
  <si>
    <t xml:space="preserve">Объем субвенции по индивидуаль-ному обучению детей на дому    </t>
  </si>
  <si>
    <t>Объем субвенции по обучению детей, находящихся на длительном  лечении в медицинских организациях</t>
  </si>
  <si>
    <t>1 уровень (n)</t>
  </si>
  <si>
    <t>Объем субвенции по обучению воспитанников дошкольных групп дневных общеобразовательных организаций, реализующих образова-тельную программу дошкольного образования</t>
  </si>
  <si>
    <t>Объем субвенции для  общеобразо-вательных классов общеобразо-вательных организаций, имеющих интернат</t>
  </si>
  <si>
    <t>Объем субвенции для  классов компенсирующего обучения общеобразователь-ных организаций</t>
  </si>
  <si>
    <r>
      <t xml:space="preserve">Объем субвенции бюджету i-го муниципального района (городского округа) на реализацию основных общеобразовательных программ в вечерних (сменных) общеобразовательных организациях, классах очно-заочного обучения, учебно-консультационных пунктах при дневных общеобразовательных организациях на очередной финансовый год и плановый период
</t>
    </r>
    <r>
      <rPr>
        <b/>
        <sz val="9"/>
        <rFont val="Times New Roman"/>
        <family val="1"/>
        <charset val="204"/>
      </rPr>
      <t>S</t>
    </r>
    <r>
      <rPr>
        <b/>
        <vertAlign val="subscript"/>
        <sz val="9"/>
        <rFont val="Times New Roman"/>
        <family val="1"/>
        <charset val="204"/>
      </rPr>
      <t>i</t>
    </r>
    <r>
      <rPr>
        <b/>
        <vertAlign val="superscript"/>
        <sz val="9"/>
        <rFont val="Times New Roman"/>
        <family val="1"/>
        <charset val="204"/>
      </rPr>
      <t>v</t>
    </r>
  </si>
  <si>
    <r>
      <t xml:space="preserve">Объем субвенции для i-го муниципального района (городского округа) на реализацию общеобразовательных программ в вечерних (сменных) общеобразовательных организациях и учебно-консультационных пунктах при исправительных учреждениях на очередной финансовый год и плановый период
</t>
    </r>
    <r>
      <rPr>
        <b/>
        <sz val="9"/>
        <rFont val="Times New Roman"/>
        <family val="1"/>
        <charset val="204"/>
      </rPr>
      <t>S</t>
    </r>
    <r>
      <rPr>
        <b/>
        <vertAlign val="subscript"/>
        <sz val="9"/>
        <rFont val="Times New Roman"/>
        <family val="1"/>
        <charset val="204"/>
      </rPr>
      <t>i</t>
    </r>
    <r>
      <rPr>
        <b/>
        <vertAlign val="superscript"/>
        <sz val="9"/>
        <rFont val="Times New Roman"/>
        <family val="1"/>
        <charset val="204"/>
      </rPr>
      <t>t</t>
    </r>
  </si>
  <si>
    <r>
      <t xml:space="preserve">Норматив финанси-рования расходов,  руб./на 1 обучающе-гося в год  </t>
    </r>
    <r>
      <rPr>
        <b/>
        <sz val="9"/>
        <rFont val="Times New Roman"/>
        <family val="1"/>
        <charset val="204"/>
      </rPr>
      <t>Rоn</t>
    </r>
    <r>
      <rPr>
        <b/>
        <vertAlign val="superscript"/>
        <sz val="9"/>
        <rFont val="Times New Roman"/>
        <family val="1"/>
        <charset val="204"/>
      </rPr>
      <t xml:space="preserve">у </t>
    </r>
  </si>
  <si>
    <r>
      <t xml:space="preserve">Прогнози-руемая среднего-довая числен-ность обучающихся, чел.         </t>
    </r>
    <r>
      <rPr>
        <b/>
        <sz val="9"/>
        <rFont val="Times New Roman"/>
        <family val="1"/>
        <charset val="204"/>
      </rPr>
      <t>Ноin</t>
    </r>
    <r>
      <rPr>
        <b/>
        <vertAlign val="superscript"/>
        <sz val="9"/>
        <rFont val="Times New Roman"/>
        <family val="1"/>
        <charset val="204"/>
      </rPr>
      <t>у</t>
    </r>
  </si>
  <si>
    <r>
      <t xml:space="preserve">Норматив финанси-рования расходов, руб./на 1 обучающе-гося в год  </t>
    </r>
    <r>
      <rPr>
        <b/>
        <sz val="9"/>
        <rFont val="Times New Roman"/>
        <family val="1"/>
        <charset val="204"/>
      </rPr>
      <t>Rgn</t>
    </r>
    <r>
      <rPr>
        <b/>
        <vertAlign val="superscript"/>
        <sz val="9"/>
        <rFont val="Times New Roman"/>
        <family val="1"/>
        <charset val="204"/>
      </rPr>
      <t xml:space="preserve">у </t>
    </r>
  </si>
  <si>
    <r>
      <t xml:space="preserve">Прогнози-руемая среднего-довая числен-ность обучающихся,   чел.        </t>
    </r>
    <r>
      <rPr>
        <b/>
        <sz val="9"/>
        <rFont val="Times New Roman"/>
        <family val="1"/>
        <charset val="204"/>
      </rPr>
      <t>Нgin</t>
    </r>
    <r>
      <rPr>
        <b/>
        <vertAlign val="superscript"/>
        <sz val="9"/>
        <rFont val="Times New Roman"/>
        <family val="1"/>
        <charset val="204"/>
      </rPr>
      <t>у</t>
    </r>
  </si>
  <si>
    <r>
      <t xml:space="preserve">Норматив финанси-рования расходов, руб./на 1 обучающе-гося в год  </t>
    </r>
    <r>
      <rPr>
        <b/>
        <sz val="9"/>
        <rFont val="Times New Roman"/>
        <family val="1"/>
        <charset val="204"/>
      </rPr>
      <t>Rdn</t>
    </r>
    <r>
      <rPr>
        <b/>
        <vertAlign val="superscript"/>
        <sz val="9"/>
        <rFont val="Times New Roman"/>
        <family val="1"/>
        <charset val="204"/>
      </rPr>
      <t>у</t>
    </r>
    <r>
      <rPr>
        <vertAlign val="superscript"/>
        <sz val="9"/>
        <rFont val="Times New Roman"/>
        <family val="1"/>
        <charset val="204"/>
      </rPr>
      <t xml:space="preserve"> </t>
    </r>
  </si>
  <si>
    <r>
      <t xml:space="preserve">Прогнози-руемая среднего-довая числен-ность обучающихся,   чел.        </t>
    </r>
    <r>
      <rPr>
        <b/>
        <sz val="9"/>
        <rFont val="Times New Roman"/>
        <family val="1"/>
        <charset val="204"/>
      </rPr>
      <t>Нdi</t>
    </r>
    <r>
      <rPr>
        <b/>
        <vertAlign val="subscript"/>
        <sz val="9"/>
        <rFont val="Times New Roman"/>
        <family val="1"/>
        <charset val="204"/>
      </rPr>
      <t>n</t>
    </r>
    <r>
      <rPr>
        <b/>
        <vertAlign val="superscript"/>
        <sz val="9"/>
        <rFont val="Times New Roman"/>
        <family val="1"/>
        <charset val="204"/>
      </rPr>
      <t>у</t>
    </r>
  </si>
  <si>
    <r>
      <t xml:space="preserve">Норматив финанси-рования расходов, руб./на 1 обучающе-гося в год </t>
    </r>
    <r>
      <rPr>
        <b/>
        <sz val="9"/>
        <rFont val="Times New Roman"/>
        <family val="1"/>
        <charset val="204"/>
      </rPr>
      <t xml:space="preserve"> Rkn</t>
    </r>
    <r>
      <rPr>
        <b/>
        <vertAlign val="superscript"/>
        <sz val="9"/>
        <rFont val="Times New Roman"/>
        <family val="1"/>
        <charset val="204"/>
      </rPr>
      <t xml:space="preserve">у </t>
    </r>
  </si>
  <si>
    <r>
      <t xml:space="preserve">Прогнози-руемая среднего-довая числен-ность обучающихся,   чел.     </t>
    </r>
    <r>
      <rPr>
        <b/>
        <sz val="9"/>
        <rFont val="Times New Roman"/>
        <family val="1"/>
        <charset val="204"/>
      </rPr>
      <t xml:space="preserve"> Нkin</t>
    </r>
    <r>
      <rPr>
        <b/>
        <vertAlign val="superscript"/>
        <sz val="9"/>
        <rFont val="Times New Roman"/>
        <family val="1"/>
        <charset val="204"/>
      </rPr>
      <t>у</t>
    </r>
  </si>
  <si>
    <r>
      <t xml:space="preserve">Норматив финанси-рования расходов, руб./на 1 обучающе-гося в год   </t>
    </r>
    <r>
      <rPr>
        <b/>
        <sz val="9"/>
        <rFont val="Times New Roman"/>
        <family val="1"/>
        <charset val="204"/>
      </rPr>
      <t>Rhn</t>
    </r>
    <r>
      <rPr>
        <b/>
        <vertAlign val="superscript"/>
        <sz val="9"/>
        <rFont val="Times New Roman"/>
        <family val="1"/>
        <charset val="204"/>
      </rPr>
      <t xml:space="preserve">у </t>
    </r>
  </si>
  <si>
    <r>
      <t xml:space="preserve">Прогнози-руемая среднего-довая числен-ность обучающихся,   чел. </t>
    </r>
    <r>
      <rPr>
        <b/>
        <sz val="9"/>
        <rFont val="Times New Roman"/>
        <family val="1"/>
        <charset val="204"/>
      </rPr>
      <t xml:space="preserve">     Нhin</t>
    </r>
    <r>
      <rPr>
        <b/>
        <vertAlign val="superscript"/>
        <sz val="9"/>
        <rFont val="Times New Roman"/>
        <family val="1"/>
        <charset val="204"/>
      </rPr>
      <t>у</t>
    </r>
  </si>
  <si>
    <r>
      <t xml:space="preserve">Норматив финанси-рования расходов, руб./на 1 обучающе-гося в год  </t>
    </r>
    <r>
      <rPr>
        <b/>
        <sz val="9"/>
        <rFont val="Times New Roman"/>
        <family val="1"/>
        <charset val="204"/>
      </rPr>
      <t>Rfn</t>
    </r>
    <r>
      <rPr>
        <b/>
        <vertAlign val="superscript"/>
        <sz val="9"/>
        <rFont val="Times New Roman"/>
        <family val="1"/>
        <charset val="204"/>
      </rPr>
      <t>у</t>
    </r>
    <r>
      <rPr>
        <vertAlign val="superscript"/>
        <sz val="9"/>
        <rFont val="Times New Roman"/>
        <family val="1"/>
        <charset val="204"/>
      </rPr>
      <t xml:space="preserve"> </t>
    </r>
  </si>
  <si>
    <r>
      <t xml:space="preserve">Прогнози-руемая  числен-ность обучающихся,   чел.        </t>
    </r>
    <r>
      <rPr>
        <b/>
        <sz val="9"/>
        <rFont val="Times New Roman"/>
        <family val="1"/>
        <charset val="204"/>
      </rPr>
      <t>Нfin</t>
    </r>
    <r>
      <rPr>
        <b/>
        <vertAlign val="superscript"/>
        <sz val="9"/>
        <rFont val="Times New Roman"/>
        <family val="1"/>
        <charset val="204"/>
      </rPr>
      <t>у</t>
    </r>
  </si>
  <si>
    <r>
      <t xml:space="preserve">Норматив финанси-рования расходов, руб./на 1 воспитанника в год  
 </t>
    </r>
    <r>
      <rPr>
        <b/>
        <sz val="9"/>
        <rFont val="Times New Roman"/>
        <family val="1"/>
        <charset val="204"/>
      </rPr>
      <t>Rln</t>
    </r>
    <r>
      <rPr>
        <b/>
        <vertAlign val="superscript"/>
        <sz val="9"/>
        <rFont val="Times New Roman"/>
        <family val="1"/>
        <charset val="204"/>
      </rPr>
      <t>y</t>
    </r>
    <r>
      <rPr>
        <vertAlign val="superscript"/>
        <sz val="9"/>
        <rFont val="Times New Roman"/>
        <family val="1"/>
        <charset val="204"/>
      </rPr>
      <t xml:space="preserve"> </t>
    </r>
  </si>
  <si>
    <r>
      <t xml:space="preserve">Прогнозируемая  численность воспитанников,   чел.       </t>
    </r>
    <r>
      <rPr>
        <b/>
        <sz val="9"/>
        <rFont val="Times New Roman"/>
        <family val="1"/>
        <charset val="204"/>
      </rPr>
      <t>Нlin</t>
    </r>
    <r>
      <rPr>
        <b/>
        <vertAlign val="superscript"/>
        <sz val="9"/>
        <rFont val="Times New Roman"/>
        <family val="1"/>
        <charset val="204"/>
      </rPr>
      <t>y</t>
    </r>
  </si>
  <si>
    <r>
      <t xml:space="preserve">Норматив финанси-рования расходов, руб./на 1 обучающе-гося в год  
</t>
    </r>
    <r>
      <rPr>
        <b/>
        <sz val="9"/>
        <rFont val="Times New Roman"/>
        <family val="1"/>
        <charset val="204"/>
      </rPr>
      <t>Rоn</t>
    </r>
    <r>
      <rPr>
        <b/>
        <vertAlign val="superscript"/>
        <sz val="9"/>
        <rFont val="Times New Roman"/>
        <family val="1"/>
        <charset val="204"/>
      </rPr>
      <t>u</t>
    </r>
    <r>
      <rPr>
        <vertAlign val="superscript"/>
        <sz val="9"/>
        <rFont val="Times New Roman"/>
        <family val="1"/>
        <charset val="204"/>
      </rPr>
      <t xml:space="preserve"> </t>
    </r>
  </si>
  <si>
    <r>
      <t xml:space="preserve">Прогнози-руемая среднего-довая числен-ность обучающихся,   чел.      
</t>
    </r>
    <r>
      <rPr>
        <b/>
        <sz val="9"/>
        <rFont val="Times New Roman"/>
        <family val="1"/>
        <charset val="204"/>
      </rPr>
      <t xml:space="preserve"> Ноin</t>
    </r>
    <r>
      <rPr>
        <b/>
        <vertAlign val="superscript"/>
        <sz val="9"/>
        <rFont val="Times New Roman"/>
        <family val="1"/>
        <charset val="204"/>
      </rPr>
      <t>u</t>
    </r>
  </si>
  <si>
    <r>
      <t xml:space="preserve">Норматив финанси-рования расходов, руб./на 1 обучающе-гося в год  
 </t>
    </r>
    <r>
      <rPr>
        <b/>
        <sz val="9"/>
        <rFont val="Times New Roman"/>
        <family val="1"/>
        <charset val="204"/>
      </rPr>
      <t>Rkn</t>
    </r>
    <r>
      <rPr>
        <b/>
        <vertAlign val="superscript"/>
        <sz val="9"/>
        <rFont val="Times New Roman"/>
        <family val="1"/>
        <charset val="204"/>
      </rPr>
      <t xml:space="preserve">u </t>
    </r>
  </si>
  <si>
    <r>
      <t xml:space="preserve">Прогнози-руемая среднего-довая численность обучающихся,   чел.    
   </t>
    </r>
    <r>
      <rPr>
        <b/>
        <sz val="9"/>
        <rFont val="Times New Roman"/>
        <family val="1"/>
        <charset val="204"/>
      </rPr>
      <t>Нkin</t>
    </r>
    <r>
      <rPr>
        <b/>
        <vertAlign val="superscript"/>
        <sz val="9"/>
        <rFont val="Times New Roman"/>
        <family val="1"/>
        <charset val="204"/>
      </rPr>
      <t>u</t>
    </r>
  </si>
  <si>
    <r>
      <t xml:space="preserve">Норматив финанси-рования расходов, руб./на 1 обучающегося в год  
 </t>
    </r>
    <r>
      <rPr>
        <b/>
        <sz val="9"/>
        <rFont val="Times New Roman"/>
        <family val="1"/>
        <charset val="204"/>
      </rPr>
      <t>Rkn</t>
    </r>
    <r>
      <rPr>
        <b/>
        <vertAlign val="superscript"/>
        <sz val="9"/>
        <rFont val="Times New Roman"/>
        <family val="1"/>
        <charset val="204"/>
      </rPr>
      <t xml:space="preserve">u </t>
    </r>
  </si>
  <si>
    <r>
      <t xml:space="preserve">Норматив финанси-рования расходов, руб./на 1 обучающе-гося в год  </t>
    </r>
    <r>
      <rPr>
        <b/>
        <sz val="9"/>
        <rFont val="Times New Roman"/>
        <family val="1"/>
        <charset val="204"/>
      </rPr>
      <t>Rоn</t>
    </r>
    <r>
      <rPr>
        <b/>
        <vertAlign val="superscript"/>
        <sz val="9"/>
        <rFont val="Times New Roman"/>
        <family val="1"/>
        <charset val="204"/>
      </rPr>
      <t xml:space="preserve">v </t>
    </r>
  </si>
  <si>
    <r>
      <t xml:space="preserve">Прогнози-руемая среднегодовая численность обучающихся,   чел.    
   </t>
    </r>
    <r>
      <rPr>
        <b/>
        <sz val="9"/>
        <rFont val="Times New Roman"/>
        <family val="1"/>
        <charset val="204"/>
      </rPr>
      <t>Ноin</t>
    </r>
    <r>
      <rPr>
        <b/>
        <vertAlign val="superscript"/>
        <sz val="9"/>
        <rFont val="Times New Roman"/>
        <family val="1"/>
        <charset val="204"/>
      </rPr>
      <t>v</t>
    </r>
  </si>
  <si>
    <r>
      <t xml:space="preserve">Норматив финанси-рования расходов, руб./на 1 обучающе-гося в год  </t>
    </r>
    <r>
      <rPr>
        <b/>
        <sz val="9"/>
        <rFont val="Times New Roman"/>
        <family val="1"/>
        <charset val="204"/>
      </rPr>
      <t>Rоn</t>
    </r>
    <r>
      <rPr>
        <b/>
        <vertAlign val="superscript"/>
        <sz val="9"/>
        <rFont val="Times New Roman"/>
        <family val="1"/>
        <charset val="204"/>
      </rPr>
      <t xml:space="preserve">t </t>
    </r>
  </si>
  <si>
    <r>
      <t xml:space="preserve">Прогнози-руемая среднего-довая численность обучающихся,   чел.      
 </t>
    </r>
    <r>
      <rPr>
        <b/>
        <sz val="9"/>
        <rFont val="Times New Roman"/>
        <family val="1"/>
        <charset val="204"/>
      </rPr>
      <t>Ноin</t>
    </r>
    <r>
      <rPr>
        <b/>
        <vertAlign val="superscript"/>
        <sz val="9"/>
        <rFont val="Times New Roman"/>
        <family val="1"/>
        <charset val="204"/>
      </rPr>
      <t>t</t>
    </r>
  </si>
  <si>
    <t>23=9+22</t>
  </si>
  <si>
    <t>44=30+43</t>
  </si>
  <si>
    <t>66=56+65</t>
  </si>
  <si>
    <t>87=73+86</t>
  </si>
  <si>
    <t>104=98+103</t>
  </si>
  <si>
    <t>105=23+44+51+66+87+95+104</t>
  </si>
  <si>
    <t>128=113+127</t>
  </si>
  <si>
    <t>,</t>
  </si>
  <si>
    <t>134=128+133</t>
  </si>
  <si>
    <t>176=162+175</t>
  </si>
  <si>
    <t>1.</t>
  </si>
  <si>
    <t>г</t>
  </si>
  <si>
    <t>2.</t>
  </si>
  <si>
    <t>ПГТ</t>
  </si>
  <si>
    <t>ф-л Спиринская ООШ</t>
  </si>
  <si>
    <t>Итого Тумская СОШ №3</t>
  </si>
  <si>
    <t>3.</t>
  </si>
  <si>
    <t>ф-л Оськинская ООШ</t>
  </si>
  <si>
    <t>Итого Тумская СОШ №46</t>
  </si>
  <si>
    <t>4.</t>
  </si>
  <si>
    <t>…</t>
  </si>
  <si>
    <t>5.</t>
  </si>
  <si>
    <t>6.</t>
  </si>
  <si>
    <t>7.</t>
  </si>
  <si>
    <t xml:space="preserve">Всего: </t>
  </si>
  <si>
    <t>Всего по полноком-плектным школам</t>
  </si>
  <si>
    <t>Александро-Невская СОШ</t>
  </si>
  <si>
    <t>ф-л Борисовская ООШ</t>
  </si>
  <si>
    <t>ф-л Нижне-Якимецкая ООШ</t>
  </si>
  <si>
    <t>ф-л Каширинская ООШ</t>
  </si>
  <si>
    <t>Всего Ал-Невская СОШ</t>
  </si>
  <si>
    <t>Всего АЛ-Невский</t>
  </si>
  <si>
    <t>Ермишинская СОШ</t>
  </si>
  <si>
    <t>пгт</t>
  </si>
  <si>
    <t>ф-л Надежкинская НОШ</t>
  </si>
  <si>
    <t>село</t>
  </si>
  <si>
    <t>итого Ермишинская СОШ</t>
  </si>
  <si>
    <t>Всего Ермишинский</t>
  </si>
  <si>
    <t>Всего Захаровский</t>
  </si>
  <si>
    <t>МОУ Кадомская СОШ</t>
  </si>
  <si>
    <t>Всего Кадомский</t>
  </si>
  <si>
    <t>ф-л Любовниковская НОШ-ДС</t>
  </si>
  <si>
    <t>Итого Елатомская СОШ</t>
  </si>
  <si>
    <t>ф-л Погостинская НОШ</t>
  </si>
  <si>
    <t>Итого Гусевская СОШ</t>
  </si>
  <si>
    <t>ф-л Алешинская ООШ</t>
  </si>
  <si>
    <t>ф-л Лощининская НОШ</t>
  </si>
  <si>
    <t>ф-л Клетинская ООШ</t>
  </si>
  <si>
    <t>ф-л Самыловкая ООШ</t>
  </si>
  <si>
    <t>Итого Сынтульская СОШ</t>
  </si>
  <si>
    <t>ф-л Бусаевская шк-дет сад</t>
  </si>
  <si>
    <t>Всего по Клепиковскому</t>
  </si>
  <si>
    <t xml:space="preserve">МОУ Кораблинская СОШ №2 </t>
  </si>
  <si>
    <t>Структурное подразделение МОУ Кораблинской средней общеобразовательной школы им. Героя РФ И.В.Сарычева</t>
  </si>
  <si>
    <t xml:space="preserve">Итого МОУ Кораблинская СОШ имени Героя РФ И.В. Сарычева </t>
  </si>
  <si>
    <t>МОУ Кораблинская СОШ №1 мо - Кораблинский муниципальный район Рязанской области</t>
  </si>
  <si>
    <t xml:space="preserve"> Ковалинский филиал МОУ Кораблинская средняя общеобразовательная школа №1 </t>
  </si>
  <si>
    <t>с</t>
  </si>
  <si>
    <t xml:space="preserve"> Филиал МОУ Кораблинской СОШ №1мо - Кораблинский муниципальный район Рязанской области "Детский сад "Дюймовочка""</t>
  </si>
  <si>
    <t xml:space="preserve">Итого МОУ Кораблинская СОШ №1 </t>
  </si>
  <si>
    <t>МОУ " Милославская СОШ"</t>
  </si>
  <si>
    <t>ф-л " Спасская СОШ"</t>
  </si>
  <si>
    <t>С.</t>
  </si>
  <si>
    <t>ф-л " Горняцкая СОШ"</t>
  </si>
  <si>
    <t>п.</t>
  </si>
  <si>
    <t>ф-л " Мураевинская НОШ"</t>
  </si>
  <si>
    <t>с.</t>
  </si>
  <si>
    <t>Итого" Милославская СОШ</t>
  </si>
  <si>
    <t>МОУ "Михайловская СОШ № 1"</t>
  </si>
  <si>
    <t>город</t>
  </si>
  <si>
    <t>Козловский филиал</t>
  </si>
  <si>
    <t>Пушкарский филиал</t>
  </si>
  <si>
    <t>Щетининский филиал</t>
  </si>
  <si>
    <t>Рачатниковский филиал</t>
  </si>
  <si>
    <t>Итого МОУ "Михайловская СОШ № 1"</t>
  </si>
  <si>
    <t>МОУ "Михайловская СОШ № 2"</t>
  </si>
  <si>
    <t>Стрелецко-Высельский филиал</t>
  </si>
  <si>
    <t>Первомайский филиал</t>
  </si>
  <si>
    <t>Итого МОУ "Михайловская СОШ № 2"</t>
  </si>
  <si>
    <t>МОУ "Михайловская СОШ № 3"</t>
  </si>
  <si>
    <t>Новопанский филиал</t>
  </si>
  <si>
    <t>Итого МОУ "Михайловская СОШ № 3"</t>
  </si>
  <si>
    <t>МОУ "Октябрьская СОШ № 2"</t>
  </si>
  <si>
    <t>Маковский филиал</t>
  </si>
  <si>
    <t>Итого МОУ "Октябрьская СОШ № 2"</t>
  </si>
  <si>
    <t>Всего по Пителинскому</t>
  </si>
  <si>
    <t>Новомичуринская СОШ № 1</t>
  </si>
  <si>
    <t>ф-л Маклоковская школа-детский сад</t>
  </si>
  <si>
    <t>Итого Новомичуринская СОШ №1</t>
  </si>
  <si>
    <t>Новомичуринская СОШ № 2</t>
  </si>
  <si>
    <t>по нормативу НСОШ №2</t>
  </si>
  <si>
    <t xml:space="preserve">Новомичуринская СОШ №3 </t>
  </si>
  <si>
    <t>в бюджете НСОШ №2</t>
  </si>
  <si>
    <t>ф-л Денисовская ООШ</t>
  </si>
  <si>
    <t>разница</t>
  </si>
  <si>
    <t>Итого Новомичуринская СОШ №3</t>
  </si>
  <si>
    <t xml:space="preserve"> </t>
  </si>
  <si>
    <t>Пронская СОШ</t>
  </si>
  <si>
    <t>ф-л Погореловская ООШ</t>
  </si>
  <si>
    <t>Итого Пронская СОШ</t>
  </si>
  <si>
    <t xml:space="preserve">Всего по Пронскому району: </t>
  </si>
  <si>
    <t xml:space="preserve">Всего по Путятинскому </t>
  </si>
  <si>
    <t>Рыбновская СОШ №1</t>
  </si>
  <si>
    <t>Рыбновская СОШ №2</t>
  </si>
  <si>
    <t>Рыбновская СОШ №3</t>
  </si>
  <si>
    <t>Рыбновская СОШ №4</t>
  </si>
  <si>
    <t>Всего по Рыбновскому</t>
  </si>
  <si>
    <t>Филиал МОУ " Ряжская СОШ № 1" "Алешиеская ООШ"</t>
  </si>
  <si>
    <t xml:space="preserve"> ИТОГО:       МОУ " Ряжская СОШ № 1 "</t>
  </si>
  <si>
    <t>Филиал МОУ " Ряжская СОШ № 2" " Салтыковская ООШ"</t>
  </si>
  <si>
    <t>Филиал МОУ " Ряжская СОШ № 2" "Журавинская ООШ"</t>
  </si>
  <si>
    <t>Филиал МОУ " Ряжская СОШ № 2" " Шереметьевская ООШ"</t>
  </si>
  <si>
    <t xml:space="preserve"> ИТОГО:       МОУ " Ряжская СОШ № 2 "</t>
  </si>
  <si>
    <t>Филиал МОУ " Ряжская СОШ № 3" "Первомайская ООШ"</t>
  </si>
  <si>
    <t>Филиал МОУ " Ряжская СОШ № 3" "Поплевинская ООШ"</t>
  </si>
  <si>
    <t xml:space="preserve"> ИТОГО:       МОУ " Ряжская СОШ № 3 "</t>
  </si>
  <si>
    <t>Филиал МОУ " Ряжская СОШ № 4" "Дегтянская ООШ"</t>
  </si>
  <si>
    <t>Филиал МОУ " Ряжская СОШ № 4" "Н-Еголдаевская ООШ"</t>
  </si>
  <si>
    <t>Филиал МОУ " Ряжская СОШ № 4" "Петровская ООШ"</t>
  </si>
  <si>
    <t xml:space="preserve"> ИТОГО:       МОУ " Ряжская СОШ № 4 "</t>
  </si>
  <si>
    <t xml:space="preserve">Всего по Ряжскому </t>
  </si>
  <si>
    <t>Всего по Рязанскому</t>
  </si>
  <si>
    <t>СОШ №1 им.Героя России Тучина А.И.</t>
  </si>
  <si>
    <t>филиал Коровка</t>
  </si>
  <si>
    <t>Всего СОШ № 1</t>
  </si>
  <si>
    <t>Всего по Сапожковскому</t>
  </si>
  <si>
    <t>МОУ Сараевская СОШ (город)</t>
  </si>
  <si>
    <t>Филиал МОУ Сараевская СОШ "Кривская СОШ" (село)</t>
  </si>
  <si>
    <t>Всего по Сараевская СОШ</t>
  </si>
  <si>
    <t>Всего по Сараевскому</t>
  </si>
  <si>
    <t>Всего по Сасовскому</t>
  </si>
  <si>
    <t>МОУ "Побединская СОШ"</t>
  </si>
  <si>
    <t>ф-л Поплевинская начальная школа - детский сад</t>
  </si>
  <si>
    <t>С</t>
  </si>
  <si>
    <t>Итого Побединская СОШ</t>
  </si>
  <si>
    <t>Всего по Скопинскому</t>
  </si>
  <si>
    <t>Всего по Спасскому</t>
  </si>
  <si>
    <t>Старожиловский</t>
  </si>
  <si>
    <t>филиал Вороновская ООШ</t>
  </si>
  <si>
    <t>ПГП</t>
  </si>
  <si>
    <t>филиал Слободская ООШ</t>
  </si>
  <si>
    <t>Итого Старожиловская СОШ</t>
  </si>
  <si>
    <t>Всего по Старожиловскому</t>
  </si>
  <si>
    <t xml:space="preserve">МБОУ Ухоловская СОШ </t>
  </si>
  <si>
    <t>филиал Александровская НОШ</t>
  </si>
  <si>
    <t>Всего Ухоловская СОШ</t>
  </si>
  <si>
    <t>Всего по Ухоловскому</t>
  </si>
  <si>
    <t>МОУ Чучковская СОШ</t>
  </si>
  <si>
    <t>ф. Ункосовская ООШ</t>
  </si>
  <si>
    <t>ф. О-Пластиковская ООШ</t>
  </si>
  <si>
    <t>ИТОГО по МОУ Чучковская СОШ</t>
  </si>
  <si>
    <t>Всего по Чучковскому</t>
  </si>
  <si>
    <r>
      <rPr>
        <sz val="13"/>
        <color indexed="10"/>
        <rFont val="Times New Roman"/>
        <family val="1"/>
        <charset val="204"/>
      </rPr>
      <t>ф-ал</t>
    </r>
    <r>
      <rPr>
        <sz val="13"/>
        <rFont val="Times New Roman"/>
        <family val="1"/>
        <charset val="204"/>
      </rPr>
      <t xml:space="preserve"> Каверинская ООШ</t>
    </r>
  </si>
  <si>
    <r>
      <rPr>
        <sz val="13"/>
        <color indexed="10"/>
        <rFont val="Times New Roman"/>
        <family val="1"/>
        <charset val="204"/>
      </rPr>
      <t>ф-ал</t>
    </r>
    <r>
      <rPr>
        <sz val="13"/>
        <rFont val="Times New Roman"/>
        <family val="1"/>
        <charset val="204"/>
      </rPr>
      <t xml:space="preserve"> Больше-Агишевская ООШ</t>
    </r>
  </si>
  <si>
    <t>Итого Шацкая СОШ</t>
  </si>
  <si>
    <t>Всего по Шацкому</t>
  </si>
  <si>
    <t>Шиловский</t>
  </si>
  <si>
    <t>Филиал МБОУ "Шиловская сош №1"в п. Прибрежный</t>
  </si>
  <si>
    <t>Филиал МБОУ "Шиловская сош №1"в с. Красный Холм</t>
  </si>
  <si>
    <t>Итого Шиловская СОШ №1</t>
  </si>
  <si>
    <t>Филиал МБОУ "Шиловская сош №2" в с.Тимошкино</t>
  </si>
  <si>
    <t>Итого Шиловская СОШ №2</t>
  </si>
  <si>
    <t>Филиал МБОУ "Шиловская сош №3"в с. Задубровье</t>
  </si>
  <si>
    <t>Итого Шиловская СОШ №3</t>
  </si>
  <si>
    <t>Всего по Шиловскому</t>
  </si>
  <si>
    <t>г.Касимов</t>
  </si>
  <si>
    <t>МБОУ "СОШ № 1"</t>
  </si>
  <si>
    <t xml:space="preserve">Структурное подразделение"Начальная школа-детский сад"МБОУ"СОШ№1" </t>
  </si>
  <si>
    <t>Итого МБОУ "СОШ № 1"</t>
  </si>
  <si>
    <t>МБОУ "СОШ № 2"</t>
  </si>
  <si>
    <t>МБОУ "СОШ № 3"</t>
  </si>
  <si>
    <t>МБОУ "СОШ № 4"</t>
  </si>
  <si>
    <t xml:space="preserve">МБОУ "СОШ№4" Структурное подразделение </t>
  </si>
  <si>
    <t>ИтогоМБОУ "СОШ № 4"</t>
  </si>
  <si>
    <t>МБОУ "СОШ №6"</t>
  </si>
  <si>
    <t>МБОУ "СОШ №7"</t>
  </si>
  <si>
    <t>Итого г. Касимов</t>
  </si>
  <si>
    <t>г. Рязань</t>
  </si>
  <si>
    <t>МОУ «СОШ № 1»</t>
  </si>
  <si>
    <t>МОУ «Гимназия № 2»</t>
  </si>
  <si>
    <t>МОУ «СОШ № 3»</t>
  </si>
  <si>
    <t>МОУ «Лицей № 4»</t>
  </si>
  <si>
    <t>МОУ «Гимназия № 5»</t>
  </si>
  <si>
    <t>МОУ «СОШ № 6»</t>
  </si>
  <si>
    <t>МОУ «СОШ № 7»</t>
  </si>
  <si>
    <t>МОУ «СОШ № 8»</t>
  </si>
  <si>
    <t>МОУ «СОШ № 9»</t>
  </si>
  <si>
    <t>МОУ «СОШ № 11»</t>
  </si>
  <si>
    <t>МОУ «СОШ № 13»</t>
  </si>
  <si>
    <t>МОУ «СОШ № 14»</t>
  </si>
  <si>
    <t>МОУ «СОШ № 15»</t>
  </si>
  <si>
    <t>МОУ «СОШ № 16»</t>
  </si>
  <si>
    <t>МОУ «СОШ № 17»</t>
  </si>
  <si>
    <t xml:space="preserve">МОУ «СОШ № 19 (25)» </t>
  </si>
  <si>
    <t>МОУ «СОШ № 20»</t>
  </si>
  <si>
    <t>МОУ «СОШ № 21»</t>
  </si>
  <si>
    <t>МОУ «СОШ № 22»</t>
  </si>
  <si>
    <t>МОУ «СОШ № 24»</t>
  </si>
  <si>
    <t>МОУ «СОШ № 28»</t>
  </si>
  <si>
    <t>МОУ «СОШ № 30»</t>
  </si>
  <si>
    <t>МОУ «СОШ № 31»</t>
  </si>
  <si>
    <t>МОУ «СОШ № 33»</t>
  </si>
  <si>
    <t>МОУ «СОШ № 34»</t>
  </si>
  <si>
    <t>МОУ «СОШ № 35»</t>
  </si>
  <si>
    <t>МОУ «СОШ № 36»</t>
  </si>
  <si>
    <t>МОУ «СОШ № 37»</t>
  </si>
  <si>
    <t>МОУ «СОШ № 38»</t>
  </si>
  <si>
    <t>МОУ «СОШ № 39»</t>
  </si>
  <si>
    <t>МОУ «СОШ № 40»</t>
  </si>
  <si>
    <t>МОУ «СОШ № 41»</t>
  </si>
  <si>
    <t>МОУ «СОШ № 43»</t>
  </si>
  <si>
    <t>МОУ «СОШ № 44»</t>
  </si>
  <si>
    <t>МОУ «СОШ № 45»</t>
  </si>
  <si>
    <t>МОУ «СОШ № 46»</t>
  </si>
  <si>
    <t>МОУ «СОШ № 47»</t>
  </si>
  <si>
    <t>МОУ «СОШ № 48»</t>
  </si>
  <si>
    <t>МОУ «СОШ № 49»</t>
  </si>
  <si>
    <t>МОУ «СОШ № 50»</t>
  </si>
  <si>
    <t>МОУ «СОШ № 51»</t>
  </si>
  <si>
    <t>МОУ «СОШ № 52»</t>
  </si>
  <si>
    <t>МОУ «СОШ № 53»</t>
  </si>
  <si>
    <t>МОУ «СОШ № 54»</t>
  </si>
  <si>
    <t>МОУ «СОШ № 55»</t>
  </si>
  <si>
    <t>МОУ «СОШ № 56»</t>
  </si>
  <si>
    <t>МОУ «СОШ № 57»</t>
  </si>
  <si>
    <t>МОУ «СОШ № 58»</t>
  </si>
  <si>
    <t>МОУ «СОШ № 59»</t>
  </si>
  <si>
    <t>МОУ «СОШ № 60»</t>
  </si>
  <si>
    <t>МОУ «СОШ № 61»</t>
  </si>
  <si>
    <t>МОУ «СОШ № 62»</t>
  </si>
  <si>
    <t>МОУ «СОШ № 63»</t>
  </si>
  <si>
    <t>МОУ «СОШ № 64»</t>
  </si>
  <si>
    <t>МОУ «СОШ № 65»</t>
  </si>
  <si>
    <t>МОУ «СОШ № 66»</t>
  </si>
  <si>
    <t>МОУ «СОШ № 67»</t>
  </si>
  <si>
    <t>МОУ «СОШ № 68»</t>
  </si>
  <si>
    <t>МОУ «СОШ № 69»</t>
  </si>
  <si>
    <t>МОУ «СОШ № 70»</t>
  </si>
  <si>
    <t>МОУ «СОШ № 71»</t>
  </si>
  <si>
    <t>МОУ «СОШ № 72»</t>
  </si>
  <si>
    <t>МОУ «СОШ № 73»</t>
  </si>
  <si>
    <t xml:space="preserve">МОУ "О(С)ОШ" </t>
  </si>
  <si>
    <t>МОУ"Школа-интернат № 1"</t>
  </si>
  <si>
    <t>МОУ"Школа-интернат № 2"</t>
  </si>
  <si>
    <t>МОУ «СОШ № 29»</t>
  </si>
  <si>
    <t>МОУ «СОШ № 32»</t>
  </si>
  <si>
    <t>Всего по г. Рязань</t>
  </si>
  <si>
    <t>г.Сасово</t>
  </si>
  <si>
    <t>СОШ №1</t>
  </si>
  <si>
    <t>филиал шк №1  НОШ №5</t>
  </si>
  <si>
    <t>Итого СОШ № 1</t>
  </si>
  <si>
    <t>ООШ№2</t>
  </si>
  <si>
    <t>СОШ №3</t>
  </si>
  <si>
    <t>СОШ №6</t>
  </si>
  <si>
    <t>СОШ №106</t>
  </si>
  <si>
    <t>Всего по г. Сасово</t>
  </si>
  <si>
    <t>г.Скопин</t>
  </si>
  <si>
    <t xml:space="preserve">МБОУ СОШ №1 </t>
  </si>
  <si>
    <t>филиал МБОУ СОШ №1 "Октябрьская сош"</t>
  </si>
  <si>
    <t>структурное подразделение МБОУ СОШ №1 "УКП" (С 1.09.2014)</t>
  </si>
  <si>
    <t>Итого МБОУ СОШ №1</t>
  </si>
  <si>
    <t>Итого МБОУ СОШ №4</t>
  </si>
  <si>
    <t>Всего по г.Скопин</t>
  </si>
  <si>
    <t>Всего по ООУ 2015</t>
  </si>
  <si>
    <t>г. Касимов</t>
  </si>
  <si>
    <t>внебюджет(прогноз)</t>
  </si>
  <si>
    <t>коммуналка (прогноз)</t>
  </si>
  <si>
    <t>2016 год (прогноз)</t>
  </si>
  <si>
    <t xml:space="preserve">План на 2016 год </t>
  </si>
  <si>
    <t>2017 год (прогноз)</t>
  </si>
  <si>
    <r>
      <t xml:space="preserve">Средняя численность </t>
    </r>
    <r>
      <rPr>
        <b/>
        <sz val="10"/>
        <rFont val="Arial"/>
        <family val="2"/>
        <charset val="204"/>
      </rPr>
      <t>на 2017 год (прогноз)</t>
    </r>
  </si>
  <si>
    <r>
      <t xml:space="preserve">Учебные расходы </t>
    </r>
    <r>
      <rPr>
        <b/>
        <sz val="10"/>
        <color rgb="FFFF0000"/>
        <rFont val="Arial"/>
        <family val="2"/>
        <charset val="204"/>
      </rPr>
      <t>2017</t>
    </r>
  </si>
  <si>
    <t>Всего субвенция на 2017</t>
  </si>
  <si>
    <t xml:space="preserve">ИТОГО </t>
  </si>
  <si>
    <t>Средняя численность 2015</t>
  </si>
  <si>
    <t>Всего, тыс.руб.</t>
  </si>
  <si>
    <t>Средняя з/плата в 2015 г.,2016 г., руб.</t>
  </si>
  <si>
    <r>
      <rPr>
        <b/>
        <sz val="10"/>
        <rFont val="Arial"/>
        <family val="2"/>
        <charset val="204"/>
      </rPr>
      <t xml:space="preserve">Фонд з/пл, всего с коммун.всего, </t>
    </r>
    <r>
      <rPr>
        <b/>
        <sz val="10"/>
        <color rgb="FFFF0000"/>
        <rFont val="Arial"/>
        <family val="2"/>
        <charset val="204"/>
      </rPr>
      <t>тыс. руб.</t>
    </r>
  </si>
  <si>
    <r>
      <t xml:space="preserve">Средняя численность </t>
    </r>
    <r>
      <rPr>
        <b/>
        <sz val="10"/>
        <rFont val="Arial"/>
        <family val="2"/>
        <charset val="204"/>
      </rPr>
      <t>2016 год (прогноз)</t>
    </r>
  </si>
  <si>
    <r>
      <t xml:space="preserve">Средняя з/плата на </t>
    </r>
    <r>
      <rPr>
        <b/>
        <sz val="10"/>
        <color rgb="FF7030A0"/>
        <rFont val="Arial"/>
        <family val="2"/>
        <charset val="204"/>
      </rPr>
      <t>2017 г.</t>
    </r>
  </si>
  <si>
    <t>совместителей</t>
  </si>
  <si>
    <t>ФОТ  з/пл(Субвенция на общее образ.), руб.</t>
  </si>
  <si>
    <t xml:space="preserve">Фонд з/пл всего, руб. </t>
  </si>
  <si>
    <t>ФОТ   ( Субвенция) с начисл, руб.</t>
  </si>
  <si>
    <r>
      <t xml:space="preserve">Средняя з/плата на </t>
    </r>
    <r>
      <rPr>
        <b/>
        <sz val="10"/>
        <color rgb="FF7030A0"/>
        <rFont val="Arial"/>
        <family val="2"/>
        <charset val="204"/>
      </rPr>
      <t>2016 г.</t>
    </r>
  </si>
  <si>
    <t>ФОТ с начислениями (Субвенция), руб</t>
  </si>
  <si>
    <t>Фонд з/платы  с коммун.всего, руб.,</t>
  </si>
  <si>
    <t>Расчет объема субвенции на реализацию основных общеобразовательных программ в  муниципальных малокомплектных общеобразовательных организациях, общеобразовательных организациях, расположенных в сельских населенных пунктах, на  2016 год</t>
  </si>
  <si>
    <t>МБДОУ Бурминская ООШ</t>
  </si>
  <si>
    <t xml:space="preserve"> Больше-Жоковская ОШ</t>
  </si>
  <si>
    <t>МБОУ Городковическая</t>
  </si>
  <si>
    <t>МБОУ Старокиструсская</t>
  </si>
  <si>
    <r>
      <rPr>
        <b/>
        <sz val="12"/>
        <color indexed="8"/>
        <rFont val="Arial"/>
        <family val="2"/>
        <charset val="204"/>
      </rPr>
      <t>Всего,</t>
    </r>
    <r>
      <rPr>
        <sz val="12"/>
        <color indexed="8"/>
        <rFont val="Arial"/>
        <family val="2"/>
        <charset val="204"/>
      </rPr>
      <t xml:space="preserve"> </t>
    </r>
    <r>
      <rPr>
        <i/>
        <sz val="12"/>
        <color indexed="8"/>
        <rFont val="Arial"/>
        <family val="2"/>
        <charset val="204"/>
      </rPr>
      <t>в том числе:</t>
    </r>
  </si>
  <si>
    <t>Начальник управления</t>
  </si>
  <si>
    <t>Л.В. Стеняева</t>
  </si>
  <si>
    <t>исп.</t>
  </si>
  <si>
    <t>Н.П.Лазарева</t>
  </si>
  <si>
    <t>2016 г.</t>
  </si>
  <si>
    <t>2017 г.</t>
  </si>
  <si>
    <t>филиал</t>
  </si>
  <si>
    <r>
      <t>Среднегодовая численность обучающихся  в муниципальных полнокомплектных общеобразовательных организациях, расположенных в городской местности и в рабочих поселках (поселках городского типа)  на 2016 год (</t>
    </r>
    <r>
      <rPr>
        <b/>
        <sz val="12"/>
        <color rgb="FFFF0000"/>
        <rFont val="Times New Roman"/>
        <family val="1"/>
        <charset val="204"/>
      </rPr>
      <t>прогноз)</t>
    </r>
  </si>
  <si>
    <t>Реорганизация путем слияния Заокского ДС с Заокской СШ (с 1.09.2016)</t>
  </si>
  <si>
    <t>Открытие дошкольной группы во Льговской СШ (с 1.09.2016)</t>
  </si>
  <si>
    <t xml:space="preserve">Увеличение численности педагогического персонала на 4,5 в связи с введением дополнительных  ставок педагогов - психологов в 6 средних школах по письму Министерства образования </t>
  </si>
  <si>
    <t>прибавились ДС</t>
  </si>
  <si>
    <t xml:space="preserve">не хватает  на  учебные расходы </t>
  </si>
  <si>
    <t>не хватает на зарплату</t>
  </si>
  <si>
    <t>всего:     7059546,44</t>
  </si>
  <si>
    <t>МКОУ «Алёшинская СШ»</t>
  </si>
  <si>
    <t>МКОУ «Кустаревская СШ»</t>
  </si>
  <si>
    <t>МКОУ «Нижнемальцевская СШ»</t>
  </si>
  <si>
    <t>МКОУ «Сотницынская СШ»</t>
  </si>
  <si>
    <t xml:space="preserve">МКОУ «Батьковская ОШ» </t>
  </si>
  <si>
    <t>МКОУ «Демушкинская СШ»</t>
  </si>
  <si>
    <t>МКОУ «Глядковская СШ»</t>
  </si>
  <si>
    <t>МКОУ «Малостуденецкая СШ»</t>
  </si>
  <si>
    <t>МКОУ «Придорожная  СШ им. А.С. Новикова-Прибоя»</t>
  </si>
  <si>
    <t>МКОУ «Любовниковская СШ»</t>
  </si>
  <si>
    <t>в т.ч. 20 ДОУ</t>
  </si>
  <si>
    <t>вт.ч. 50 чел  УКП</t>
  </si>
  <si>
    <t>в т.ч. 15 ДОУ</t>
  </si>
  <si>
    <t>в т.ч. 24 ДОУ</t>
  </si>
  <si>
    <t>Александро-Невский</t>
  </si>
  <si>
    <t>Недостаток, излишек на 2016</t>
  </si>
  <si>
    <t>Субвенция 2016 г.</t>
  </si>
  <si>
    <t>д.б.по числ</t>
  </si>
  <si>
    <t>местный бюджет</t>
  </si>
  <si>
    <t>субвенции</t>
  </si>
  <si>
    <t>ф-л Мамоновская ООШ</t>
  </si>
  <si>
    <t>Итого Новомичуринская СОШ №2</t>
  </si>
  <si>
    <t>д.быть</t>
  </si>
  <si>
    <t>были</t>
  </si>
  <si>
    <t>по числ</t>
  </si>
  <si>
    <t xml:space="preserve">2016 год </t>
  </si>
  <si>
    <t>Норматив финансирования расходов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для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дополнительного образования детей  в муниципальных общеобразовательных организациях  на 2016год</t>
  </si>
  <si>
    <r>
      <t xml:space="preserve">а- </t>
    </r>
    <r>
      <rPr>
        <sz val="12"/>
        <rFont val="TimesET"/>
        <charset val="204"/>
      </rPr>
      <t>кол-во часов по баз.уч.плану</t>
    </r>
  </si>
  <si>
    <t>d-к-во час на ставку</t>
  </si>
  <si>
    <t>b -размер ср. баз.оклада</t>
  </si>
  <si>
    <t>Т-начисл</t>
  </si>
  <si>
    <t>р- к-т роста</t>
  </si>
  <si>
    <t>К-т ув.ФОТ</t>
  </si>
  <si>
    <t>к-во месяцев</t>
  </si>
  <si>
    <t>m-норм. наполн.класса</t>
  </si>
  <si>
    <t xml:space="preserve">дневные </t>
  </si>
  <si>
    <t>2 уров</t>
  </si>
  <si>
    <t>3 уров</t>
  </si>
  <si>
    <t>4 уров</t>
  </si>
  <si>
    <t>за стаж, кв.кат.</t>
  </si>
  <si>
    <t>комп., стим выпл</t>
  </si>
  <si>
    <t>на проч.перс</t>
  </si>
  <si>
    <t xml:space="preserve"> общеобр</t>
  </si>
  <si>
    <t>гимназии</t>
  </si>
  <si>
    <t>с угл. изуч.пред.</t>
  </si>
  <si>
    <t>Компенс</t>
  </si>
  <si>
    <t>школы-инт общ</t>
  </si>
  <si>
    <t>школы-инт корр</t>
  </si>
  <si>
    <t>школы-инт гимн</t>
  </si>
  <si>
    <t>школы-инт с угл</t>
  </si>
  <si>
    <t>Вечернее  обуч</t>
  </si>
  <si>
    <t>при ИТУ</t>
  </si>
  <si>
    <t>w- удор.по уровням</t>
  </si>
  <si>
    <t>с-к-т по направл</t>
  </si>
  <si>
    <t>k- к-т увел.от разл.факторов</t>
  </si>
  <si>
    <t>К4- к-т увел.на внеур.деят.</t>
  </si>
  <si>
    <t>Ris-норматив финансирования</t>
  </si>
  <si>
    <t>идив.обуч</t>
  </si>
  <si>
    <t>на лечении</t>
  </si>
  <si>
    <t>доу</t>
  </si>
  <si>
    <t>доу-в шк-инт</t>
  </si>
  <si>
    <t xml:space="preserve">Начальник управления </t>
  </si>
  <si>
    <t>Стеняева Л.В</t>
  </si>
  <si>
    <t xml:space="preserve">Исп.                   </t>
  </si>
  <si>
    <t>Н.П. Лазарева</t>
  </si>
  <si>
    <t>Распределение субвенций для каждого муниципального района (городского округа) Рязанской области и определение общего объема субвенции, предоставляемой бюджетам муниципальных районов (городских округов) Рязанской области из областного бюджета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</si>
  <si>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Наименование района (городского округа)</t>
  </si>
  <si>
    <t>Численность  2014</t>
  </si>
  <si>
    <t>Численность 2016 Всего</t>
  </si>
  <si>
    <t>Численность по малокомпл</t>
  </si>
  <si>
    <t>Численность по полнокомпл</t>
  </si>
  <si>
    <r>
      <t>Объем субвенции бюджету i-го муниципального района (городского округа) на реализацию основных общеобразо-вательных программ в дневных общеобразо-вательных организациях на очередной финансовый год и плановый период без учета обучающихся, проживающих в дневных общеобразовательных организациях, имеющих интернат
   S</t>
    </r>
    <r>
      <rPr>
        <b/>
        <vertAlign val="subscript"/>
        <sz val="9"/>
        <rFont val="Times New Roman"/>
        <family val="1"/>
        <charset val="204"/>
      </rPr>
      <t>i</t>
    </r>
    <r>
      <rPr>
        <b/>
        <vertAlign val="superscript"/>
        <sz val="9"/>
        <rFont val="Times New Roman"/>
        <family val="1"/>
        <charset val="204"/>
      </rPr>
      <t>у</t>
    </r>
  </si>
  <si>
    <r>
      <t>Корректирующий коэффициент, связанный с невозможностью достижения нормативной наполняемости классов в муниципальных общеобразовательных организациях, расположенных в рабочих поселках (поселках городского типа), и наличием структурных подразделений (филиалов), в i-м муниципальном районе (городском округе), 
k</t>
    </r>
    <r>
      <rPr>
        <b/>
        <vertAlign val="subscript"/>
        <sz val="9"/>
        <rFont val="Times New Roman"/>
        <family val="1"/>
        <charset val="204"/>
      </rPr>
      <t>i</t>
    </r>
  </si>
  <si>
    <r>
      <t>Объем субвенции бюджету i-го муниципального района (городского округа) на реализацию основных общеобразовательных программ в муниципальных малокомплектных общеобразовательных организациях, общеобразовательных организациях, расположенных в сельских населенных пунктах,  на очередной финансовый год и плановый период,
V</t>
    </r>
    <r>
      <rPr>
        <b/>
        <vertAlign val="subscript"/>
        <sz val="10"/>
        <rFont val="Times New Roman"/>
        <family val="1"/>
        <charset val="204"/>
      </rPr>
      <t>i</t>
    </r>
  </si>
  <si>
    <r>
      <t>Объем субвенции бюджету i-го муниципального района (городского округа) на реализацию основных общеобразовательных программ в общеобразовательных оранизациях на очередной финансовый год и плановый период 
S</t>
    </r>
    <r>
      <rPr>
        <b/>
        <vertAlign val="subscript"/>
        <sz val="10"/>
        <rFont val="Times New Roman"/>
        <family val="1"/>
        <charset val="204"/>
      </rPr>
      <t xml:space="preserve">i = </t>
    </r>
    <r>
      <rPr>
        <b/>
        <sz val="10"/>
        <rFont val="Times New Roman"/>
        <family val="1"/>
        <charset val="204"/>
      </rPr>
      <t>S</t>
    </r>
    <r>
      <rPr>
        <b/>
        <vertAlign val="subscript"/>
        <sz val="10"/>
        <rFont val="Times New Roman"/>
        <family val="1"/>
        <charset val="204"/>
      </rPr>
      <t>i</t>
    </r>
    <r>
      <rPr>
        <b/>
        <vertAlign val="superscript"/>
        <sz val="10"/>
        <rFont val="Times New Roman"/>
        <family val="1"/>
        <charset val="204"/>
      </rPr>
      <t>y*</t>
    </r>
    <r>
      <rPr>
        <b/>
        <sz val="10"/>
        <rFont val="Times New Roman"/>
        <family val="1"/>
        <charset val="204"/>
      </rPr>
      <t>k+S</t>
    </r>
    <r>
      <rPr>
        <b/>
        <vertAlign val="subscript"/>
        <sz val="10"/>
        <rFont val="Times New Roman"/>
        <family val="1"/>
        <charset val="204"/>
      </rPr>
      <t>i</t>
    </r>
    <r>
      <rPr>
        <b/>
        <vertAlign val="superscript"/>
        <sz val="10"/>
        <rFont val="Times New Roman"/>
        <family val="1"/>
        <charset val="204"/>
      </rPr>
      <t>u</t>
    </r>
    <r>
      <rPr>
        <b/>
        <sz val="10"/>
        <rFont val="Times New Roman"/>
        <family val="1"/>
        <charset val="204"/>
      </rPr>
      <t>+S</t>
    </r>
    <r>
      <rPr>
        <b/>
        <vertAlign val="subscript"/>
        <sz val="10"/>
        <rFont val="Times New Roman"/>
        <family val="1"/>
        <charset val="204"/>
      </rPr>
      <t>i</t>
    </r>
    <r>
      <rPr>
        <b/>
        <vertAlign val="superscript"/>
        <sz val="10"/>
        <rFont val="Times New Roman"/>
        <family val="1"/>
        <charset val="204"/>
      </rPr>
      <t>v</t>
    </r>
    <r>
      <rPr>
        <b/>
        <sz val="10"/>
        <rFont val="Times New Roman"/>
        <family val="1"/>
        <charset val="204"/>
      </rPr>
      <t>+S</t>
    </r>
    <r>
      <rPr>
        <b/>
        <vertAlign val="subscript"/>
        <sz val="10"/>
        <rFont val="Times New Roman"/>
        <family val="1"/>
        <charset val="204"/>
      </rPr>
      <t>i</t>
    </r>
    <r>
      <rPr>
        <b/>
        <vertAlign val="superscript"/>
        <sz val="10"/>
        <rFont val="Times New Roman"/>
        <family val="1"/>
        <charset val="204"/>
      </rPr>
      <t>t</t>
    </r>
    <r>
      <rPr>
        <b/>
        <sz val="10"/>
        <rFont val="Times New Roman"/>
        <family val="1"/>
        <charset val="204"/>
      </rPr>
      <t xml:space="preserve"> +  
                                                V</t>
    </r>
    <r>
      <rPr>
        <b/>
        <vertAlign val="subscript"/>
        <sz val="10"/>
        <rFont val="Times New Roman"/>
        <family val="1"/>
        <charset val="204"/>
      </rPr>
      <t xml:space="preserve">i
</t>
    </r>
  </si>
  <si>
    <t>Общий объем субвенции, предоставляемой бюджетам муниципальных районов (городских округов) Рязанской области из областного бюджета на реализацию основных общеобразовательных программ в общеобразовательных организациях на очередной финансовый год и плановый период                                                                                                                                      p
S = SUM Si,
   1</t>
  </si>
  <si>
    <t xml:space="preserve">План 2016 года </t>
  </si>
  <si>
    <t>Учебные расходы по полнокомпл</t>
  </si>
  <si>
    <t>Учебные расходы по малокомпл</t>
  </si>
  <si>
    <t>Учебные расходы всего</t>
  </si>
  <si>
    <t>ФОТ з/платы с начисл</t>
  </si>
  <si>
    <r>
      <t>Объем субвенции бюджету i-го муниципального района (городского округа) на реализацию общеобразовательных программ в общеобразовательных организациях, имеющих интернат, а также в дневных общеобразовательных организациях применительно к обучающимся, проживающим в дневных общеобразовательныхз организациях, имеющих интернат, на очередной финансовый год и плановый период       
S</t>
    </r>
    <r>
      <rPr>
        <b/>
        <vertAlign val="subscript"/>
        <sz val="9"/>
        <rFont val="Times New Roman"/>
        <family val="1"/>
        <charset val="204"/>
      </rPr>
      <t>i</t>
    </r>
    <r>
      <rPr>
        <b/>
        <vertAlign val="superscript"/>
        <sz val="9"/>
        <rFont val="Times New Roman"/>
        <family val="1"/>
        <charset val="204"/>
      </rPr>
      <t>u</t>
    </r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</si>
  <si>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</si>
  <si>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</si>
  <si>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</si>
  <si>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</si>
  <si>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</si>
  <si>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</si>
  <si>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</si>
  <si>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</si>
  <si>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</si>
  <si>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</si>
  <si>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</si>
  <si>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</si>
  <si>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</si>
  <si>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</si>
  <si>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</si>
  <si>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</si>
  <si>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</si>
  <si>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</si>
  <si>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</si>
  <si>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Касимов</t>
  </si>
  <si>
    <t>27.</t>
  </si>
  <si>
    <t>Рязань</t>
  </si>
  <si>
    <t>29.</t>
  </si>
  <si>
    <t>Сасово</t>
  </si>
  <si>
    <t>Скопин</t>
  </si>
  <si>
    <t>Всего по МО</t>
  </si>
  <si>
    <t xml:space="preserve">Частные </t>
  </si>
  <si>
    <t xml:space="preserve">Нераспред. средства </t>
  </si>
  <si>
    <t>Стеняева Л.В.</t>
  </si>
  <si>
    <t>Исп.</t>
  </si>
  <si>
    <t>Средний норматив начальное</t>
  </si>
  <si>
    <t>Средний норматив общщ</t>
  </si>
  <si>
    <t>Средний норматив среднее</t>
  </si>
  <si>
    <t>14</t>
  </si>
  <si>
    <t>136</t>
  </si>
  <si>
    <t>1</t>
  </si>
  <si>
    <t>35</t>
  </si>
  <si>
    <t>58</t>
  </si>
  <si>
    <t>300</t>
  </si>
  <si>
    <t>я заполнила</t>
  </si>
  <si>
    <t>я постав</t>
  </si>
  <si>
    <t>я полставила</t>
  </si>
  <si>
    <t>я пост</t>
  </si>
  <si>
    <t>я прост</t>
  </si>
  <si>
    <t>Норматив</t>
  </si>
  <si>
    <t>Субвенция</t>
  </si>
  <si>
    <t>на мрот</t>
  </si>
  <si>
    <r>
      <rPr>
        <b/>
        <sz val="10"/>
        <rFont val="Arial"/>
        <family val="2"/>
        <charset val="204"/>
      </rPr>
      <t>Прочие</t>
    </r>
    <r>
      <rPr>
        <b/>
        <sz val="10"/>
        <color rgb="FFFF0000"/>
        <rFont val="Arial"/>
        <family val="2"/>
        <charset val="204"/>
      </rPr>
      <t>, в т.ч</t>
    </r>
  </si>
  <si>
    <t>МОП</t>
  </si>
  <si>
    <t>нужно 695 без МРО Т</t>
  </si>
  <si>
    <t>сош 2 регулировать</t>
  </si>
  <si>
    <t>План на 2016</t>
  </si>
  <si>
    <t>Факт</t>
  </si>
  <si>
    <t>ЧООУ</t>
  </si>
  <si>
    <t>было первон</t>
  </si>
  <si>
    <t>можно под ноль</t>
  </si>
  <si>
    <t>я прибавила</t>
  </si>
  <si>
    <t>городу скопин</t>
  </si>
  <si>
    <t>Разница с 2016г</t>
  </si>
  <si>
    <t>Кроме детей-инвалидов</t>
  </si>
  <si>
    <t>АУП</t>
  </si>
  <si>
    <t>Средний медицинский</t>
  </si>
  <si>
    <t>инв</t>
  </si>
  <si>
    <t>Дошкольники</t>
  </si>
  <si>
    <t>Комм и внеб АУП</t>
  </si>
  <si>
    <t>Комм и внеб пед</t>
  </si>
  <si>
    <t>левая</t>
  </si>
  <si>
    <t>Приложение № 2</t>
  </si>
  <si>
    <t>Информация</t>
  </si>
  <si>
    <t>о численности и фонде заработной платы в муниципальных общеобразовательных школах</t>
  </si>
  <si>
    <t xml:space="preserve">Наименование </t>
  </si>
  <si>
    <t>Численность детей в МОУ</t>
  </si>
  <si>
    <t>За счет субвенций из областного бюджета</t>
  </si>
  <si>
    <t>ФОТ без начислений</t>
  </si>
  <si>
    <t>Коммунальные услуги и внебюджет</t>
  </si>
  <si>
    <t>ФОТ с учетом начислений</t>
  </si>
  <si>
    <t xml:space="preserve">Учебные расходы </t>
  </si>
  <si>
    <t>Педагогические работники ООУ</t>
  </si>
  <si>
    <t>Педагогические работники дошкольных групп при школах</t>
  </si>
  <si>
    <t>Врачи</t>
  </si>
  <si>
    <t>Средний медицинский персонал</t>
  </si>
  <si>
    <t>Прочий персонал</t>
  </si>
  <si>
    <t>численность</t>
  </si>
  <si>
    <t>По данным Минобр</t>
  </si>
  <si>
    <t>фонд заработной платы (без начислений)</t>
  </si>
  <si>
    <t>По данным Минобразования</t>
  </si>
  <si>
    <t>Итого Минфин</t>
  </si>
  <si>
    <t>ФОТ  прочего</t>
  </si>
  <si>
    <t>на 01.09.2016</t>
  </si>
  <si>
    <t>прогнозируемая среднегодовая на 2017 год</t>
  </si>
  <si>
    <t>на 01.07.2016*</t>
  </si>
  <si>
    <t>уточненная в связи с оптимизацией</t>
  </si>
  <si>
    <t>новая сеть на 2017 год</t>
  </si>
  <si>
    <t xml:space="preserve">Уточненная численность на 1.01.2017 Миноразование </t>
  </si>
  <si>
    <t>Численность по 2015 году</t>
  </si>
  <si>
    <t>Фот без начислений (по 2015 году)</t>
  </si>
  <si>
    <t>Фот без начислений (на 2017 году)</t>
  </si>
  <si>
    <t>уточненный в связи с оптимизацией</t>
  </si>
  <si>
    <t xml:space="preserve">Уточненная численность на 1.07.2016 Минфин </t>
  </si>
  <si>
    <t>Целевая по 2015 году</t>
  </si>
  <si>
    <t>Фот без начислений</t>
  </si>
  <si>
    <t>Целевая по 2015 году Росстат</t>
  </si>
  <si>
    <t>заработная платаспис.сост. за 2015 год</t>
  </si>
  <si>
    <t>заработная плата внешн.совм. за 2015 год</t>
  </si>
  <si>
    <t>в том числе</t>
  </si>
  <si>
    <t>Средняя з/плата</t>
  </si>
  <si>
    <t>ФОТ без начислений и без коммунальных</t>
  </si>
  <si>
    <t>списочный состав</t>
  </si>
  <si>
    <t>внешние совмести-тели</t>
  </si>
  <si>
    <t>Всего, в том числе:</t>
  </si>
  <si>
    <t>внешн</t>
  </si>
  <si>
    <t xml:space="preserve">Кадомский </t>
  </si>
  <si>
    <t xml:space="preserve">Итого </t>
  </si>
  <si>
    <t>дошк</t>
  </si>
  <si>
    <t>Численность детей</t>
  </si>
  <si>
    <t xml:space="preserve">Внгебюджет </t>
  </si>
  <si>
    <t>2015 год</t>
  </si>
  <si>
    <t>На лечении и ИТУ</t>
  </si>
  <si>
    <t>Остальн</t>
  </si>
  <si>
    <t>Всего на 2017 год с МРОТ</t>
  </si>
  <si>
    <t>МРОТ( дали р-ны)</t>
  </si>
  <si>
    <t>МРОТ(пропорц.от ФОТ прочего)</t>
  </si>
  <si>
    <t>Всего на 2017 год с МРОТ (пропорц)</t>
  </si>
  <si>
    <t>Субвенция  всего (без МРОТ)</t>
  </si>
  <si>
    <t xml:space="preserve">Специальные (коррекционные)    </t>
  </si>
  <si>
    <t>стало</t>
  </si>
  <si>
    <t>обучающиеся в классах с наличием 1 обучающегося с РАС</t>
  </si>
  <si>
    <t>обучающиеся в классах с наличием 2 обучающихся с  РАС</t>
  </si>
  <si>
    <t>семейные формы обучения</t>
  </si>
  <si>
    <t>обучающиеся в классах для детей с РАС</t>
  </si>
  <si>
    <t>классы для детей с РАС</t>
  </si>
  <si>
    <t xml:space="preserve">обучающиеся </t>
  </si>
  <si>
    <t>Численность учащихся</t>
  </si>
  <si>
    <t>наименование учреждения</t>
  </si>
  <si>
    <t>Всего по учреждению</t>
  </si>
  <si>
    <t xml:space="preserve">Дети-инвалиды </t>
  </si>
  <si>
    <t>Дети с ОВЗ</t>
  </si>
  <si>
    <t xml:space="preserve">2 уровень </t>
  </si>
  <si>
    <t xml:space="preserve">3 уровень </t>
  </si>
  <si>
    <t>4 уровень</t>
  </si>
  <si>
    <t xml:space="preserve">4 уровень </t>
  </si>
  <si>
    <t>2 уровень</t>
  </si>
  <si>
    <t>3 уровень</t>
  </si>
  <si>
    <t xml:space="preserve">1 уровень </t>
  </si>
  <si>
    <t>Руководитель учреждения</t>
  </si>
  <si>
    <t>__________________________/________________________________________</t>
  </si>
  <si>
    <t xml:space="preserve">            (подпись)                                                  (расшифровка подписи)</t>
  </si>
  <si>
    <t>Главный бухгалтер</t>
  </si>
  <si>
    <t>специалист  отдела общего образования</t>
  </si>
  <si>
    <t>Согласовно</t>
  </si>
  <si>
    <t>Реализация общеобразовательных программ в дневных общеобразовательных организациях</t>
  </si>
  <si>
    <t>Реализация основных общеобразовательных программ в общеобразовательных организациях, имеющих интернат, а также в дневных общеобазовательных организациях применительно к обучающимся, проживающим в дневных общеобразовательных организациях, имеющих интернат</t>
  </si>
  <si>
    <t>Реализация основных общеобразовательных программ в вечерних (сменных) общеобразовательных организациях, классах очно-заочного обучения, учебно-консультационных пунктах при дневных общеобразовательных организациях</t>
  </si>
  <si>
    <t xml:space="preserve">Реализация основных общеобразовательных программ в вечерних (сменных) общеобразовательных организациях и учебно-консультационных пунктах при исправительных учреждениях </t>
  </si>
  <si>
    <t xml:space="preserve">Дата </t>
  </si>
  <si>
    <r>
      <t xml:space="preserve">Кроме детей-инвалидов и детей с ОВЗ и кроме </t>
    </r>
    <r>
      <rPr>
        <b/>
        <i/>
        <sz val="14"/>
        <color rgb="FFFF0000"/>
        <rFont val="Times New Roman"/>
        <family val="1"/>
        <charset val="204"/>
      </rPr>
      <t>обучающихся в классах с наличием обучающихся с  расстройством аутического спектра (РАС)</t>
    </r>
  </si>
  <si>
    <t>Кроме детей-инвалидов и детей с ОВЗ</t>
  </si>
  <si>
    <r>
      <t xml:space="preserve">Кроме </t>
    </r>
    <r>
      <rPr>
        <b/>
        <i/>
        <sz val="14"/>
        <color rgb="FFFF0000"/>
        <rFont val="Times New Roman"/>
        <family val="1"/>
        <charset val="204"/>
      </rPr>
      <t>обучающихся в классах с наличием обучающихся с  расстройством аутического спектра (РАС)</t>
    </r>
  </si>
  <si>
    <t xml:space="preserve">Прогнозируемая среднегодовая численность на 2023 год стр.3 =(( стр 1*8 мес.) +(стр.2*4 мес))/ 12 мес.  </t>
  </si>
  <si>
    <r>
      <t xml:space="preserve">Численность  учащихся  на 01.09.2023 г. </t>
    </r>
    <r>
      <rPr>
        <b/>
        <sz val="10"/>
        <color rgb="FFFF0000"/>
        <rFont val="Times New Roman"/>
        <family val="1"/>
        <charset val="204"/>
      </rPr>
      <t>(прогноз)</t>
    </r>
  </si>
  <si>
    <t>Численность  учащихся  на 01.01.2023 г.(в соответствии с формой статистической отчетности ОО-1 на 01.09.2022; инвалиды, дети с ОВЗ и надомники по факту)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</si>
</sst>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0.00000"/>
    <numFmt numFmtId="169" formatCode="#,##0.000"/>
    <numFmt numFmtId="170" formatCode="#,##0.00000"/>
    <numFmt numFmtId="171" formatCode="0.000000"/>
    <numFmt numFmtId="172" formatCode="0_ ;[Red]\-0\ "/>
    <numFmt numFmtId="173" formatCode="0.00_ ;[Red]\-0.00\ "/>
    <numFmt numFmtId="174" formatCode="#,##0;[Red]#,##0"/>
  </numFmts>
  <fonts count="142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9"/>
      <color rgb="FFC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b/>
      <i/>
      <sz val="12"/>
      <name val="Arial Cyr"/>
      <charset val="204"/>
    </font>
    <font>
      <sz val="13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7030A0"/>
      <name val="Arial"/>
      <family val="2"/>
      <charset val="204"/>
    </font>
    <font>
      <sz val="12.5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48"/>
      <name val="Times New Roman"/>
      <family val="1"/>
      <charset val="204"/>
    </font>
    <font>
      <sz val="12"/>
      <color indexed="48"/>
      <name val="Arial"/>
      <family val="2"/>
      <charset val="1"/>
    </font>
    <font>
      <sz val="12"/>
      <color indexed="4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25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36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20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b/>
      <sz val="12"/>
      <color indexed="36"/>
      <name val="Arial"/>
      <family val="2"/>
      <charset val="204"/>
    </font>
    <font>
      <sz val="12"/>
      <color indexed="36"/>
      <name val="Arial"/>
      <family val="2"/>
      <charset val="204"/>
    </font>
    <font>
      <b/>
      <i/>
      <sz val="14"/>
      <name val="TimesET"/>
      <charset val="204"/>
    </font>
    <font>
      <b/>
      <i/>
      <sz val="12"/>
      <name val="TimesET"/>
      <charset val="204"/>
    </font>
    <font>
      <sz val="12"/>
      <name val="TimesET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2"/>
      <color rgb="FFFF0000"/>
      <name val="TimesET"/>
      <charset val="204"/>
    </font>
    <font>
      <b/>
      <i/>
      <sz val="14"/>
      <color rgb="FFFF0000"/>
      <name val="TimesET"/>
      <charset val="204"/>
    </font>
    <font>
      <b/>
      <sz val="12"/>
      <name val="Arial"/>
      <family val="2"/>
      <charset val="204"/>
    </font>
    <font>
      <b/>
      <i/>
      <sz val="14"/>
      <color rgb="FF0070C0"/>
      <name val="Arial"/>
      <family val="2"/>
      <charset val="204"/>
    </font>
    <font>
      <b/>
      <i/>
      <sz val="14"/>
      <color rgb="FF0070C0"/>
      <name val="TimesET"/>
      <charset val="204"/>
    </font>
    <font>
      <sz val="14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2"/>
      <color rgb="FF7030A0"/>
      <name val="Arial"/>
      <family val="2"/>
      <charset val="204"/>
    </font>
    <font>
      <b/>
      <sz val="14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C00000"/>
      <name val="Times New Roman"/>
      <family val="1"/>
      <charset val="204"/>
    </font>
    <font>
      <sz val="9"/>
      <name val="Tahoma"/>
      <family val="2"/>
      <charset val="204"/>
    </font>
    <font>
      <b/>
      <i/>
      <sz val="14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11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31"/>
        <bgColor indexed="24"/>
      </patternFill>
    </fill>
    <fill>
      <patternFill patternType="solid">
        <fgColor indexed="44"/>
        <bgColor indexed="46"/>
      </patternFill>
    </fill>
    <fill>
      <patternFill patternType="solid">
        <fgColor indexed="55"/>
        <bgColor indexed="50"/>
      </patternFill>
    </fill>
    <fill>
      <patternFill patternType="solid">
        <fgColor indexed="43"/>
        <bgColor indexed="52"/>
      </patternFill>
    </fill>
    <fill>
      <patternFill patternType="solid">
        <fgColor indexed="47"/>
        <bgColor indexed="34"/>
      </patternFill>
    </fill>
    <fill>
      <patternFill patternType="solid">
        <fgColor indexed="41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9"/>
        <bgColor indexed="14"/>
      </patternFill>
    </fill>
    <fill>
      <patternFill patternType="solid">
        <fgColor rgb="FF66FF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51"/>
      </patternFill>
    </fill>
    <fill>
      <patternFill patternType="solid">
        <fgColor rgb="FF00B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51"/>
      </patternFill>
    </fill>
    <fill>
      <patternFill patternType="solid">
        <fgColor theme="8" tint="0.59999389629810485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rgb="FFFF99FF"/>
        <bgColor indexed="34"/>
      </patternFill>
    </fill>
    <fill>
      <patternFill patternType="solid">
        <fgColor theme="8" tint="0.59999389629810485"/>
        <bgColor indexed="42"/>
      </patternFill>
    </fill>
    <fill>
      <patternFill patternType="solid">
        <fgColor rgb="FFFFFF00"/>
        <bgColor indexed="51"/>
      </patternFill>
    </fill>
    <fill>
      <patternFill patternType="solid">
        <fgColor rgb="FF57D3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9" fillId="0" borderId="0" applyFont="0" applyFill="0" applyBorder="0" applyAlignment="0" applyProtection="0"/>
    <xf numFmtId="0" fontId="17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</cellStyleXfs>
  <cellXfs count="1894">
    <xf numFmtId="0" fontId="0" fillId="0" borderId="0" xfId="0"/>
    <xf numFmtId="49" fontId="0" fillId="2" borderId="1" xfId="0" applyNumberFormat="1" applyFill="1" applyBorder="1" applyAlignment="1">
      <alignment horizontal="center" vertical="center" wrapText="1" shrinkToFit="1"/>
    </xf>
    <xf numFmtId="165" fontId="0" fillId="0" borderId="1" xfId="0" applyNumberFormat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9" fontId="0" fillId="0" borderId="1" xfId="0" applyNumberFormat="1" applyBorder="1" applyAlignment="1">
      <alignment wrapText="1" shrinkToFit="1"/>
    </xf>
    <xf numFmtId="49" fontId="0" fillId="4" borderId="1" xfId="0" applyNumberFormat="1" applyFill="1" applyBorder="1" applyAlignment="1">
      <alignment horizontal="center" vertical="center" wrapText="1" shrinkToFit="1"/>
    </xf>
    <xf numFmtId="49" fontId="0" fillId="0" borderId="2" xfId="0" applyNumberFormat="1" applyFill="1" applyBorder="1" applyAlignment="1">
      <alignment horizontal="center" vertical="center" wrapText="1" shrinkToFit="1"/>
    </xf>
    <xf numFmtId="49" fontId="0" fillId="5" borderId="1" xfId="0" applyNumberFormat="1" applyFill="1" applyBorder="1" applyAlignment="1">
      <alignment horizontal="center" vertical="center" wrapText="1" shrinkToFit="1"/>
    </xf>
    <xf numFmtId="49" fontId="0" fillId="6" borderId="1" xfId="0" applyNumberFormat="1" applyFill="1" applyBorder="1" applyAlignment="1">
      <alignment horizontal="center" vertical="center" wrapText="1" shrinkToFit="1"/>
    </xf>
    <xf numFmtId="2" fontId="3" fillId="7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4" xfId="0" applyFont="1" applyBorder="1"/>
    <xf numFmtId="0" fontId="5" fillId="0" borderId="4" xfId="0" applyFont="1" applyBorder="1"/>
    <xf numFmtId="0" fontId="3" fillId="5" borderId="1" xfId="0" applyFont="1" applyFill="1" applyBorder="1"/>
    <xf numFmtId="4" fontId="3" fillId="5" borderId="1" xfId="0" applyNumberFormat="1" applyFont="1" applyFill="1" applyBorder="1"/>
    <xf numFmtId="0" fontId="0" fillId="10" borderId="1" xfId="0" applyFill="1" applyBorder="1"/>
    <xf numFmtId="0" fontId="0" fillId="0" borderId="1" xfId="0" applyFill="1" applyBorder="1"/>
    <xf numFmtId="0" fontId="4" fillId="0" borderId="1" xfId="0" applyFont="1" applyFill="1" applyBorder="1"/>
    <xf numFmtId="0" fontId="0" fillId="7" borderId="1" xfId="0" applyFill="1" applyBorder="1" applyAlignment="1">
      <alignment horizontal="center"/>
    </xf>
    <xf numFmtId="0" fontId="0" fillId="7" borderId="0" xfId="0" applyFill="1"/>
    <xf numFmtId="49" fontId="0" fillId="5" borderId="1" xfId="0" applyNumberFormat="1" applyFill="1" applyBorder="1" applyAlignment="1">
      <alignment wrapText="1" shrinkToFit="1"/>
    </xf>
    <xf numFmtId="165" fontId="0" fillId="5" borderId="1" xfId="0" applyNumberFormat="1" applyFill="1" applyBorder="1"/>
    <xf numFmtId="0" fontId="0" fillId="5" borderId="0" xfId="0" applyFill="1"/>
    <xf numFmtId="0" fontId="3" fillId="5" borderId="2" xfId="0" applyFont="1" applyFill="1" applyBorder="1"/>
    <xf numFmtId="165" fontId="0" fillId="0" borderId="0" xfId="0" applyNumberFormat="1"/>
    <xf numFmtId="166" fontId="3" fillId="5" borderId="1" xfId="0" applyNumberFormat="1" applyFont="1" applyFill="1" applyBorder="1"/>
    <xf numFmtId="0" fontId="3" fillId="7" borderId="0" xfId="0" applyFont="1" applyFill="1"/>
    <xf numFmtId="4" fontId="7" fillId="9" borderId="1" xfId="0" applyNumberFormat="1" applyFont="1" applyFill="1" applyBorder="1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 wrapText="1" shrinkToFit="1"/>
    </xf>
    <xf numFmtId="2" fontId="0" fillId="0" borderId="1" xfId="0" applyNumberFormat="1" applyBorder="1" applyAlignment="1">
      <alignment wrapText="1" shrinkToFit="1"/>
    </xf>
    <xf numFmtId="49" fontId="0" fillId="8" borderId="1" xfId="0" applyNumberFormat="1" applyFill="1" applyBorder="1" applyAlignment="1">
      <alignment wrapText="1" shrinkToFit="1"/>
    </xf>
    <xf numFmtId="165" fontId="0" fillId="8" borderId="1" xfId="0" applyNumberFormat="1" applyFill="1" applyBorder="1"/>
    <xf numFmtId="0" fontId="0" fillId="8" borderId="0" xfId="0" applyFill="1"/>
    <xf numFmtId="4" fontId="10" fillId="0" borderId="0" xfId="0" applyNumberFormat="1" applyFont="1" applyAlignment="1">
      <alignment wrapText="1"/>
    </xf>
    <xf numFmtId="4" fontId="10" fillId="0" borderId="1" xfId="0" applyNumberFormat="1" applyFont="1" applyBorder="1" applyAlignment="1">
      <alignment wrapText="1"/>
    </xf>
    <xf numFmtId="4" fontId="10" fillId="5" borderId="1" xfId="0" applyNumberFormat="1" applyFont="1" applyFill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" fontId="10" fillId="6" borderId="1" xfId="0" applyNumberFormat="1" applyFont="1" applyFill="1" applyBorder="1" applyAlignment="1">
      <alignment wrapText="1"/>
    </xf>
    <xf numFmtId="4" fontId="13" fillId="6" borderId="1" xfId="0" applyNumberFormat="1" applyFont="1" applyFill="1" applyBorder="1" applyAlignment="1">
      <alignment wrapText="1"/>
    </xf>
    <xf numFmtId="4" fontId="11" fillId="6" borderId="1" xfId="0" applyNumberFormat="1" applyFont="1" applyFill="1" applyBorder="1" applyAlignment="1">
      <alignment wrapText="1"/>
    </xf>
    <xf numFmtId="4" fontId="11" fillId="5" borderId="1" xfId="0" applyNumberFormat="1" applyFont="1" applyFill="1" applyBorder="1" applyAlignment="1">
      <alignment wrapText="1"/>
    </xf>
    <xf numFmtId="4" fontId="11" fillId="0" borderId="0" xfId="0" applyNumberFormat="1" applyFont="1" applyAlignment="1">
      <alignment wrapText="1"/>
    </xf>
    <xf numFmtId="4" fontId="14" fillId="13" borderId="1" xfId="0" applyNumberFormat="1" applyFont="1" applyFill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4" fontId="16" fillId="0" borderId="1" xfId="0" applyNumberFormat="1" applyFont="1" applyBorder="1" applyAlignment="1">
      <alignment wrapText="1"/>
    </xf>
    <xf numFmtId="4" fontId="15" fillId="6" borderId="1" xfId="0" applyNumberFormat="1" applyFont="1" applyFill="1" applyBorder="1" applyAlignment="1">
      <alignment wrapText="1"/>
    </xf>
    <xf numFmtId="4" fontId="16" fillId="6" borderId="1" xfId="0" applyNumberFormat="1" applyFont="1" applyFill="1" applyBorder="1" applyAlignment="1">
      <alignment wrapText="1"/>
    </xf>
    <xf numFmtId="4" fontId="16" fillId="0" borderId="0" xfId="0" applyNumberFormat="1" applyFont="1" applyAlignment="1">
      <alignment wrapText="1"/>
    </xf>
    <xf numFmtId="4" fontId="14" fillId="14" borderId="16" xfId="2" applyNumberFormat="1" applyFont="1" applyFill="1" applyBorder="1" applyAlignment="1">
      <alignment wrapText="1"/>
    </xf>
    <xf numFmtId="4" fontId="11" fillId="6" borderId="1" xfId="1" applyNumberFormat="1" applyFont="1" applyFill="1" applyBorder="1" applyAlignment="1">
      <alignment wrapText="1"/>
    </xf>
    <xf numFmtId="4" fontId="11" fillId="5" borderId="1" xfId="1" applyNumberFormat="1" applyFont="1" applyFill="1" applyBorder="1" applyAlignment="1">
      <alignment wrapText="1"/>
    </xf>
    <xf numFmtId="4" fontId="21" fillId="0" borderId="1" xfId="0" applyNumberFormat="1" applyFont="1" applyFill="1" applyBorder="1" applyAlignment="1">
      <alignment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21" fillId="7" borderId="4" xfId="0" applyNumberFormat="1" applyFont="1" applyFill="1" applyBorder="1" applyAlignment="1">
      <alignment vertical="center" wrapText="1"/>
    </xf>
    <xf numFmtId="4" fontId="11" fillId="6" borderId="1" xfId="0" applyNumberFormat="1" applyFont="1" applyFill="1" applyBorder="1" applyAlignment="1">
      <alignment horizontal="center" wrapText="1"/>
    </xf>
    <xf numFmtId="4" fontId="11" fillId="5" borderId="1" xfId="0" applyNumberFormat="1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wrapText="1"/>
    </xf>
    <xf numFmtId="4" fontId="10" fillId="0" borderId="1" xfId="1" applyNumberFormat="1" applyFont="1" applyBorder="1" applyAlignment="1">
      <alignment wrapText="1"/>
    </xf>
    <xf numFmtId="4" fontId="11" fillId="0" borderId="1" xfId="1" applyNumberFormat="1" applyFont="1" applyBorder="1" applyAlignment="1">
      <alignment wrapText="1"/>
    </xf>
    <xf numFmtId="4" fontId="22" fillId="0" borderId="1" xfId="0" applyNumberFormat="1" applyFont="1" applyBorder="1"/>
    <xf numFmtId="4" fontId="22" fillId="0" borderId="6" xfId="0" applyNumberFormat="1" applyFont="1" applyBorder="1"/>
    <xf numFmtId="4" fontId="22" fillId="0" borderId="6" xfId="0" applyNumberFormat="1" applyFont="1" applyFill="1" applyBorder="1"/>
    <xf numFmtId="4" fontId="20" fillId="0" borderId="1" xfId="0" applyNumberFormat="1" applyFont="1" applyBorder="1" applyAlignment="1">
      <alignment wrapText="1"/>
    </xf>
    <xf numFmtId="4" fontId="21" fillId="7" borderId="1" xfId="3" quotePrefix="1" applyNumberFormat="1" applyFont="1" applyFill="1" applyBorder="1" applyAlignment="1">
      <alignment horizontal="left" vertical="center" wrapText="1"/>
    </xf>
    <xf numFmtId="4" fontId="19" fillId="7" borderId="1" xfId="3" applyNumberFormat="1" applyFont="1" applyFill="1" applyBorder="1" applyAlignment="1">
      <alignment vertical="center" wrapText="1"/>
    </xf>
    <xf numFmtId="4" fontId="19" fillId="0" borderId="12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wrapText="1"/>
    </xf>
    <xf numFmtId="4" fontId="26" fillId="7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21" fillId="15" borderId="4" xfId="0" applyNumberFormat="1" applyFont="1" applyFill="1" applyBorder="1" applyAlignment="1">
      <alignment wrapText="1"/>
    </xf>
    <xf numFmtId="4" fontId="19" fillId="7" borderId="1" xfId="0" applyNumberFormat="1" applyFont="1" applyFill="1" applyBorder="1" applyAlignment="1">
      <alignment horizontal="center" vertical="center" wrapText="1"/>
    </xf>
    <xf numFmtId="4" fontId="24" fillId="15" borderId="4" xfId="0" applyNumberFormat="1" applyFont="1" applyFill="1" applyBorder="1" applyAlignment="1">
      <alignment vertical="center" wrapText="1"/>
    </xf>
    <xf numFmtId="4" fontId="10" fillId="11" borderId="1" xfId="0" applyNumberFormat="1" applyFont="1" applyFill="1" applyBorder="1" applyAlignment="1">
      <alignment wrapText="1"/>
    </xf>
    <xf numFmtId="4" fontId="11" fillId="11" borderId="1" xfId="0" applyNumberFormat="1" applyFont="1" applyFill="1" applyBorder="1" applyAlignment="1">
      <alignment wrapText="1"/>
    </xf>
    <xf numFmtId="0" fontId="27" fillId="0" borderId="0" xfId="0" applyFont="1" applyFill="1" applyBorder="1"/>
    <xf numFmtId="166" fontId="28" fillId="0" borderId="18" xfId="0" applyNumberFormat="1" applyFont="1" applyFill="1" applyBorder="1" applyAlignment="1">
      <alignment vertical="center" wrapText="1"/>
    </xf>
    <xf numFmtId="0" fontId="27" fillId="0" borderId="0" xfId="0" applyFont="1" applyFill="1"/>
    <xf numFmtId="0" fontId="36" fillId="0" borderId="0" xfId="0" applyFont="1" applyFill="1" applyBorder="1"/>
    <xf numFmtId="0" fontId="3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1" fontId="40" fillId="0" borderId="28" xfId="0" applyNumberFormat="1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vertical="center" wrapText="1"/>
    </xf>
    <xf numFmtId="1" fontId="40" fillId="0" borderId="0" xfId="0" applyNumberFormat="1" applyFont="1" applyFill="1" applyBorder="1" applyAlignment="1">
      <alignment horizontal="center" vertical="center"/>
    </xf>
    <xf numFmtId="4" fontId="44" fillId="0" borderId="28" xfId="0" applyNumberFormat="1" applyFont="1" applyFill="1" applyBorder="1" applyAlignment="1">
      <alignment horizontal="center"/>
    </xf>
    <xf numFmtId="0" fontId="45" fillId="0" borderId="4" xfId="0" applyFont="1" applyFill="1" applyBorder="1" applyAlignment="1">
      <alignment wrapText="1"/>
    </xf>
    <xf numFmtId="0" fontId="45" fillId="0" borderId="4" xfId="0" applyFont="1" applyFill="1" applyBorder="1"/>
    <xf numFmtId="1" fontId="46" fillId="0" borderId="1" xfId="0" applyNumberFormat="1" applyFont="1" applyFill="1" applyBorder="1" applyAlignment="1">
      <alignment horizontal="right"/>
    </xf>
    <xf numFmtId="165" fontId="46" fillId="0" borderId="1" xfId="0" applyNumberFormat="1" applyFont="1" applyFill="1" applyBorder="1"/>
    <xf numFmtId="165" fontId="44" fillId="0" borderId="1" xfId="0" applyNumberFormat="1" applyFont="1" applyFill="1" applyBorder="1" applyAlignment="1">
      <alignment horizontal="right"/>
    </xf>
    <xf numFmtId="166" fontId="44" fillId="0" borderId="1" xfId="0" applyNumberFormat="1" applyFont="1" applyFill="1" applyBorder="1" applyAlignment="1">
      <alignment horizontal="right"/>
    </xf>
    <xf numFmtId="165" fontId="44" fillId="0" borderId="1" xfId="0" applyNumberFormat="1" applyFont="1" applyFill="1" applyBorder="1"/>
    <xf numFmtId="3" fontId="44" fillId="0" borderId="1" xfId="0" applyNumberFormat="1" applyFont="1" applyFill="1" applyBorder="1" applyAlignment="1">
      <alignment horizontal="right"/>
    </xf>
    <xf numFmtId="1" fontId="44" fillId="0" borderId="1" xfId="0" applyNumberFormat="1" applyFont="1" applyFill="1" applyBorder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4" fontId="47" fillId="0" borderId="0" xfId="0" applyNumberFormat="1" applyFont="1" applyFill="1" applyBorder="1"/>
    <xf numFmtId="4" fontId="47" fillId="0" borderId="1" xfId="0" applyNumberFormat="1" applyFont="1" applyFill="1" applyBorder="1"/>
    <xf numFmtId="4" fontId="44" fillId="0" borderId="29" xfId="0" applyNumberFormat="1" applyFont="1" applyFill="1" applyBorder="1" applyAlignment="1">
      <alignment horizontal="center"/>
    </xf>
    <xf numFmtId="166" fontId="19" fillId="0" borderId="1" xfId="0" applyNumberFormat="1" applyFont="1" applyFill="1" applyBorder="1"/>
    <xf numFmtId="1" fontId="43" fillId="0" borderId="1" xfId="0" applyNumberFormat="1" applyFont="1" applyFill="1" applyBorder="1" applyAlignment="1">
      <alignment horizontal="right"/>
    </xf>
    <xf numFmtId="165" fontId="19" fillId="0" borderId="1" xfId="0" applyNumberFormat="1" applyFont="1" applyFill="1" applyBorder="1" applyAlignment="1">
      <alignment horizontal="right"/>
    </xf>
    <xf numFmtId="165" fontId="19" fillId="0" borderId="1" xfId="0" applyNumberFormat="1" applyFont="1" applyFill="1" applyBorder="1"/>
    <xf numFmtId="166" fontId="19" fillId="0" borderId="1" xfId="0" applyNumberFormat="1" applyFont="1" applyFill="1" applyBorder="1" applyAlignment="1">
      <alignment horizontal="right"/>
    </xf>
    <xf numFmtId="1" fontId="19" fillId="0" borderId="1" xfId="0" applyNumberFormat="1" applyFont="1" applyFill="1" applyBorder="1" applyAlignment="1">
      <alignment horizontal="right"/>
    </xf>
    <xf numFmtId="167" fontId="19" fillId="0" borderId="1" xfId="0" applyNumberFormat="1" applyFont="1" applyFill="1" applyBorder="1" applyAlignment="1">
      <alignment horizontal="right"/>
    </xf>
    <xf numFmtId="4" fontId="40" fillId="0" borderId="0" xfId="0" applyNumberFormat="1" applyFont="1" applyFill="1" applyBorder="1"/>
    <xf numFmtId="4" fontId="40" fillId="0" borderId="1" xfId="0" applyNumberFormat="1" applyFont="1" applyFill="1" applyBorder="1"/>
    <xf numFmtId="4" fontId="19" fillId="0" borderId="29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3" fontId="19" fillId="0" borderId="1" xfId="0" applyNumberFormat="1" applyFont="1" applyFill="1" applyBorder="1"/>
    <xf numFmtId="4" fontId="19" fillId="0" borderId="28" xfId="0" applyNumberFormat="1" applyFont="1" applyFill="1" applyBorder="1" applyAlignment="1">
      <alignment horizontal="center"/>
    </xf>
    <xf numFmtId="0" fontId="49" fillId="0" borderId="4" xfId="0" applyFont="1" applyFill="1" applyBorder="1" applyAlignment="1">
      <alignment horizontal="left"/>
    </xf>
    <xf numFmtId="0" fontId="50" fillId="0" borderId="4" xfId="0" applyFont="1" applyFill="1" applyBorder="1"/>
    <xf numFmtId="166" fontId="43" fillId="0" borderId="1" xfId="0" applyNumberFormat="1" applyFont="1" applyFill="1" applyBorder="1" applyAlignment="1">
      <alignment horizontal="right"/>
    </xf>
    <xf numFmtId="2" fontId="19" fillId="0" borderId="1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40" fillId="0" borderId="0" xfId="0" applyFont="1" applyFill="1" applyBorder="1"/>
    <xf numFmtId="0" fontId="51" fillId="0" borderId="0" xfId="0" applyFont="1" applyFill="1" applyBorder="1" applyAlignment="1">
      <alignment horizontal="right"/>
    </xf>
    <xf numFmtId="0" fontId="52" fillId="0" borderId="14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/>
    <xf numFmtId="166" fontId="40" fillId="0" borderId="0" xfId="0" applyNumberFormat="1" applyFont="1" applyFill="1"/>
    <xf numFmtId="1" fontId="40" fillId="0" borderId="12" xfId="0" applyNumberFormat="1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center" vertical="center"/>
    </xf>
    <xf numFmtId="167" fontId="37" fillId="6" borderId="1" xfId="0" applyNumberFormat="1" applyFont="1" applyFill="1" applyBorder="1" applyAlignment="1">
      <alignment horizontal="center" vertical="center" wrapText="1"/>
    </xf>
    <xf numFmtId="4" fontId="44" fillId="10" borderId="28" xfId="0" applyNumberFormat="1" applyFont="1" applyFill="1" applyBorder="1" applyAlignment="1">
      <alignment horizontal="center"/>
    </xf>
    <xf numFmtId="0" fontId="49" fillId="10" borderId="4" xfId="0" applyFont="1" applyFill="1" applyBorder="1" applyAlignment="1">
      <alignment wrapText="1"/>
    </xf>
    <xf numFmtId="0" fontId="49" fillId="0" borderId="4" xfId="0" applyFont="1" applyFill="1" applyBorder="1"/>
    <xf numFmtId="166" fontId="44" fillId="7" borderId="1" xfId="0" applyNumberFormat="1" applyFont="1" applyFill="1" applyBorder="1" applyAlignment="1">
      <alignment horizontal="center"/>
    </xf>
    <xf numFmtId="4" fontId="19" fillId="17" borderId="1" xfId="0" applyNumberFormat="1" applyFont="1" applyFill="1" applyBorder="1" applyAlignment="1">
      <alignment horizontal="right"/>
    </xf>
    <xf numFmtId="4" fontId="53" fillId="18" borderId="2" xfId="0" applyNumberFormat="1" applyFont="1" applyFill="1" applyBorder="1"/>
    <xf numFmtId="4" fontId="19" fillId="18" borderId="1" xfId="0" applyNumberFormat="1" applyFont="1" applyFill="1" applyBorder="1" applyAlignment="1">
      <alignment horizontal="right"/>
    </xf>
    <xf numFmtId="165" fontId="44" fillId="0" borderId="12" xfId="0" applyNumberFormat="1" applyFont="1" applyFill="1" applyBorder="1" applyAlignment="1">
      <alignment horizontal="right"/>
    </xf>
    <xf numFmtId="4" fontId="54" fillId="16" borderId="1" xfId="0" applyNumberFormat="1" applyFont="1" applyFill="1" applyBorder="1"/>
    <xf numFmtId="0" fontId="50" fillId="0" borderId="14" xfId="0" applyFont="1" applyFill="1" applyBorder="1"/>
    <xf numFmtId="0" fontId="50" fillId="0" borderId="4" xfId="0" applyFont="1" applyFill="1" applyBorder="1" applyAlignment="1">
      <alignment wrapText="1"/>
    </xf>
    <xf numFmtId="0" fontId="50" fillId="0" borderId="14" xfId="0" applyFont="1" applyFill="1" applyBorder="1" applyAlignment="1">
      <alignment wrapText="1"/>
    </xf>
    <xf numFmtId="0" fontId="49" fillId="0" borderId="14" xfId="0" applyFont="1" applyFill="1" applyBorder="1" applyAlignment="1">
      <alignment wrapText="1"/>
    </xf>
    <xf numFmtId="4" fontId="44" fillId="19" borderId="30" xfId="0" applyNumberFormat="1" applyFont="1" applyFill="1" applyBorder="1" applyAlignment="1">
      <alignment wrapText="1"/>
    </xf>
    <xf numFmtId="4" fontId="49" fillId="19" borderId="31" xfId="0" applyNumberFormat="1" applyFont="1" applyFill="1" applyBorder="1" applyAlignment="1">
      <alignment wrapText="1"/>
    </xf>
    <xf numFmtId="4" fontId="49" fillId="19" borderId="5" xfId="0" applyNumberFormat="1" applyFont="1" applyFill="1" applyBorder="1" applyAlignment="1">
      <alignment wrapText="1"/>
    </xf>
    <xf numFmtId="1" fontId="44" fillId="19" borderId="5" xfId="0" applyNumberFormat="1" applyFont="1" applyFill="1" applyBorder="1"/>
    <xf numFmtId="1" fontId="44" fillId="19" borderId="31" xfId="0" applyNumberFormat="1" applyFont="1" applyFill="1" applyBorder="1"/>
    <xf numFmtId="166" fontId="44" fillId="19" borderId="1" xfId="0" applyNumberFormat="1" applyFont="1" applyFill="1" applyBorder="1"/>
    <xf numFmtId="1" fontId="44" fillId="19" borderId="33" xfId="0" applyNumberFormat="1" applyFont="1" applyFill="1" applyBorder="1"/>
    <xf numFmtId="4" fontId="47" fillId="19" borderId="1" xfId="0" applyNumberFormat="1" applyFont="1" applyFill="1" applyBorder="1"/>
    <xf numFmtId="4" fontId="47" fillId="19" borderId="0" xfId="0" applyNumberFormat="1" applyFont="1" applyFill="1" applyBorder="1"/>
    <xf numFmtId="4" fontId="44" fillId="5" borderId="34" xfId="0" applyNumberFormat="1" applyFont="1" applyFill="1" applyBorder="1" applyAlignment="1">
      <alignment wrapText="1"/>
    </xf>
    <xf numFmtId="4" fontId="49" fillId="5" borderId="13" xfId="0" applyNumberFormat="1" applyFont="1" applyFill="1" applyBorder="1" applyAlignment="1">
      <alignment wrapText="1"/>
    </xf>
    <xf numFmtId="4" fontId="49" fillId="5" borderId="1" xfId="0" applyNumberFormat="1" applyFont="1" applyFill="1" applyBorder="1" applyAlignment="1">
      <alignment wrapText="1"/>
    </xf>
    <xf numFmtId="1" fontId="44" fillId="5" borderId="1" xfId="0" applyNumberFormat="1" applyFont="1" applyFill="1" applyBorder="1"/>
    <xf numFmtId="2" fontId="44" fillId="5" borderId="1" xfId="0" applyNumberFormat="1" applyFont="1" applyFill="1" applyBorder="1"/>
    <xf numFmtId="1" fontId="44" fillId="5" borderId="12" xfId="0" applyNumberFormat="1" applyFont="1" applyFill="1" applyBorder="1"/>
    <xf numFmtId="4" fontId="28" fillId="5" borderId="1" xfId="0" applyNumberFormat="1" applyFont="1" applyFill="1" applyBorder="1"/>
    <xf numFmtId="4" fontId="47" fillId="5" borderId="1" xfId="0" applyNumberFormat="1" applyFont="1" applyFill="1" applyBorder="1"/>
    <xf numFmtId="4" fontId="47" fillId="5" borderId="0" xfId="0" applyNumberFormat="1" applyFont="1" applyFill="1" applyBorder="1"/>
    <xf numFmtId="167" fontId="28" fillId="6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49" fillId="0" borderId="14" xfId="0" applyFont="1" applyFill="1" applyBorder="1"/>
    <xf numFmtId="0" fontId="49" fillId="0" borderId="4" xfId="0" applyFont="1" applyFill="1" applyBorder="1" applyAlignment="1">
      <alignment wrapText="1"/>
    </xf>
    <xf numFmtId="4" fontId="44" fillId="19" borderId="29" xfId="0" applyNumberFormat="1" applyFont="1" applyFill="1" applyBorder="1" applyAlignment="1">
      <alignment horizontal="center"/>
    </xf>
    <xf numFmtId="0" fontId="49" fillId="19" borderId="4" xfId="0" applyFont="1" applyFill="1" applyBorder="1" applyAlignment="1">
      <alignment wrapText="1"/>
    </xf>
    <xf numFmtId="0" fontId="49" fillId="19" borderId="14" xfId="0" applyFont="1" applyFill="1" applyBorder="1"/>
    <xf numFmtId="166" fontId="44" fillId="19" borderId="12" xfId="0" applyNumberFormat="1" applyFont="1" applyFill="1" applyBorder="1"/>
    <xf numFmtId="166" fontId="44" fillId="5" borderId="1" xfId="0" applyNumberFormat="1" applyFont="1" applyFill="1" applyBorder="1"/>
    <xf numFmtId="0" fontId="40" fillId="0" borderId="1" xfId="0" applyFont="1" applyFill="1" applyBorder="1"/>
    <xf numFmtId="4" fontId="44" fillId="5" borderId="1" xfId="0" applyNumberFormat="1" applyFont="1" applyFill="1" applyBorder="1" applyAlignment="1">
      <alignment horizontal="center"/>
    </xf>
    <xf numFmtId="0" fontId="40" fillId="5" borderId="1" xfId="0" applyFont="1" applyFill="1" applyBorder="1"/>
    <xf numFmtId="166" fontId="44" fillId="5" borderId="12" xfId="0" applyNumberFormat="1" applyFont="1" applyFill="1" applyBorder="1"/>
    <xf numFmtId="167" fontId="44" fillId="6" borderId="0" xfId="0" applyNumberFormat="1" applyFont="1" applyFill="1"/>
    <xf numFmtId="165" fontId="46" fillId="0" borderId="12" xfId="0" applyNumberFormat="1" applyFont="1" applyFill="1" applyBorder="1" applyAlignment="1">
      <alignment horizontal="right"/>
    </xf>
    <xf numFmtId="1" fontId="19" fillId="0" borderId="1" xfId="0" applyNumberFormat="1" applyFont="1" applyFill="1" applyBorder="1" applyAlignment="1">
      <alignment horizontal="center" vertical="center" wrapText="1"/>
    </xf>
    <xf numFmtId="3" fontId="19" fillId="0" borderId="29" xfId="0" applyNumberFormat="1" applyFont="1" applyFill="1" applyBorder="1" applyAlignment="1">
      <alignment horizontal="center"/>
    </xf>
    <xf numFmtId="165" fontId="58" fillId="0" borderId="12" xfId="0" applyNumberFormat="1" applyFont="1" applyFill="1" applyBorder="1" applyAlignment="1">
      <alignment horizontal="right"/>
    </xf>
    <xf numFmtId="1" fontId="56" fillId="0" borderId="1" xfId="0" applyNumberFormat="1" applyFont="1" applyFill="1" applyBorder="1" applyAlignment="1">
      <alignment horizontal="right"/>
    </xf>
    <xf numFmtId="3" fontId="44" fillId="0" borderId="28" xfId="0" applyNumberFormat="1" applyFont="1" applyFill="1" applyBorder="1" applyAlignment="1">
      <alignment horizontal="center"/>
    </xf>
    <xf numFmtId="1" fontId="58" fillId="0" borderId="1" xfId="0" applyNumberFormat="1" applyFont="1" applyFill="1" applyBorder="1" applyAlignment="1">
      <alignment horizontal="right"/>
    </xf>
    <xf numFmtId="4" fontId="19" fillId="19" borderId="28" xfId="0" applyNumberFormat="1" applyFont="1" applyFill="1" applyBorder="1" applyAlignment="1">
      <alignment horizontal="center"/>
    </xf>
    <xf numFmtId="0" fontId="50" fillId="19" borderId="4" xfId="0" applyFont="1" applyFill="1" applyBorder="1"/>
    <xf numFmtId="4" fontId="40" fillId="19" borderId="1" xfId="0" applyNumberFormat="1" applyFont="1" applyFill="1" applyBorder="1"/>
    <xf numFmtId="4" fontId="40" fillId="19" borderId="0" xfId="0" applyNumberFormat="1" applyFont="1" applyFill="1" applyBorder="1"/>
    <xf numFmtId="4" fontId="44" fillId="5" borderId="30" xfId="0" applyNumberFormat="1" applyFont="1" applyFill="1" applyBorder="1" applyAlignment="1">
      <alignment wrapText="1"/>
    </xf>
    <xf numFmtId="4" fontId="49" fillId="5" borderId="31" xfId="0" applyNumberFormat="1" applyFont="1" applyFill="1" applyBorder="1" applyAlignment="1">
      <alignment wrapText="1"/>
    </xf>
    <xf numFmtId="1" fontId="12" fillId="5" borderId="31" xfId="0" applyNumberFormat="1" applyFont="1" applyFill="1" applyBorder="1"/>
    <xf numFmtId="0" fontId="44" fillId="6" borderId="0" xfId="0" applyFont="1" applyFill="1"/>
    <xf numFmtId="4" fontId="44" fillId="19" borderId="28" xfId="0" applyNumberFormat="1" applyFont="1" applyFill="1" applyBorder="1" applyAlignment="1">
      <alignment horizontal="center"/>
    </xf>
    <xf numFmtId="0" fontId="49" fillId="19" borderId="4" xfId="0" applyFont="1" applyFill="1" applyBorder="1"/>
    <xf numFmtId="166" fontId="44" fillId="19" borderId="1" xfId="0" applyNumberFormat="1" applyFont="1" applyFill="1" applyBorder="1" applyAlignment="1">
      <alignment horizontal="right"/>
    </xf>
    <xf numFmtId="165" fontId="44" fillId="19" borderId="1" xfId="0" applyNumberFormat="1" applyFont="1" applyFill="1" applyBorder="1" applyAlignment="1">
      <alignment horizontal="right"/>
    </xf>
    <xf numFmtId="3" fontId="44" fillId="19" borderId="1" xfId="0" applyNumberFormat="1" applyFont="1" applyFill="1" applyBorder="1" applyAlignment="1">
      <alignment horizontal="right"/>
    </xf>
    <xf numFmtId="0" fontId="44" fillId="19" borderId="1" xfId="0" applyNumberFormat="1" applyFont="1" applyFill="1" applyBorder="1" applyAlignment="1">
      <alignment horizontal="right"/>
    </xf>
    <xf numFmtId="165" fontId="44" fillId="19" borderId="1" xfId="0" applyNumberFormat="1" applyFont="1" applyFill="1" applyBorder="1"/>
    <xf numFmtId="0" fontId="49" fillId="10" borderId="4" xfId="0" applyFont="1" applyFill="1" applyBorder="1"/>
    <xf numFmtId="4" fontId="19" fillId="19" borderId="29" xfId="0" applyNumberFormat="1" applyFont="1" applyFill="1" applyBorder="1" applyAlignment="1">
      <alignment horizontal="center"/>
    </xf>
    <xf numFmtId="0" fontId="49" fillId="19" borderId="14" xfId="0" applyFont="1" applyFill="1" applyBorder="1" applyAlignment="1">
      <alignment wrapText="1"/>
    </xf>
    <xf numFmtId="1" fontId="44" fillId="19" borderId="1" xfId="0" applyNumberFormat="1" applyFont="1" applyFill="1" applyBorder="1" applyAlignment="1">
      <alignment horizontal="right"/>
    </xf>
    <xf numFmtId="1" fontId="44" fillId="19" borderId="12" xfId="0" applyNumberFormat="1" applyFont="1" applyFill="1" applyBorder="1" applyAlignment="1">
      <alignment horizontal="right"/>
    </xf>
    <xf numFmtId="1" fontId="44" fillId="5" borderId="31" xfId="0" applyNumberFormat="1" applyFont="1" applyFill="1" applyBorder="1"/>
    <xf numFmtId="1" fontId="44" fillId="5" borderId="33" xfId="0" applyNumberFormat="1" applyFont="1" applyFill="1" applyBorder="1"/>
    <xf numFmtId="0" fontId="28" fillId="6" borderId="0" xfId="0" applyFont="1" applyFill="1"/>
    <xf numFmtId="1" fontId="40" fillId="19" borderId="29" xfId="0" applyNumberFormat="1" applyFont="1" applyFill="1" applyBorder="1" applyAlignment="1">
      <alignment horizontal="center" vertical="center" wrapText="1"/>
    </xf>
    <xf numFmtId="0" fontId="60" fillId="19" borderId="1" xfId="0" applyFont="1" applyFill="1" applyBorder="1" applyAlignment="1">
      <alignment vertical="center" wrapText="1"/>
    </xf>
    <xf numFmtId="1" fontId="19" fillId="19" borderId="14" xfId="0" applyNumberFormat="1" applyFont="1" applyFill="1" applyBorder="1" applyAlignment="1">
      <alignment horizontal="left" vertical="center" wrapText="1"/>
    </xf>
    <xf numFmtId="1" fontId="19" fillId="19" borderId="1" xfId="0" applyNumberFormat="1" applyFont="1" applyFill="1" applyBorder="1" applyAlignment="1">
      <alignment horizontal="center" vertical="center" wrapText="1"/>
    </xf>
    <xf numFmtId="165" fontId="44" fillId="19" borderId="12" xfId="0" applyNumberFormat="1" applyFont="1" applyFill="1" applyBorder="1" applyAlignment="1">
      <alignment horizontal="right"/>
    </xf>
    <xf numFmtId="1" fontId="40" fillId="19" borderId="1" xfId="0" applyNumberFormat="1" applyFont="1" applyFill="1" applyBorder="1" applyAlignment="1">
      <alignment horizontal="center" vertical="center"/>
    </xf>
    <xf numFmtId="1" fontId="40" fillId="19" borderId="0" xfId="0" applyNumberFormat="1" applyFont="1" applyFill="1" applyBorder="1" applyAlignment="1">
      <alignment horizontal="center" vertical="center"/>
    </xf>
    <xf numFmtId="0" fontId="60" fillId="1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wrapText="1"/>
    </xf>
    <xf numFmtId="165" fontId="19" fillId="0" borderId="12" xfId="0" applyNumberFormat="1" applyFont="1" applyFill="1" applyBorder="1" applyAlignment="1">
      <alignment horizontal="right"/>
    </xf>
    <xf numFmtId="3" fontId="19" fillId="19" borderId="29" xfId="0" applyNumberFormat="1" applyFont="1" applyFill="1" applyBorder="1" applyAlignment="1">
      <alignment horizontal="center"/>
    </xf>
    <xf numFmtId="0" fontId="50" fillId="19" borderId="14" xfId="0" applyFont="1" applyFill="1" applyBorder="1" applyAlignment="1">
      <alignment wrapText="1"/>
    </xf>
    <xf numFmtId="1" fontId="19" fillId="19" borderId="1" xfId="0" applyNumberFormat="1" applyFont="1" applyFill="1" applyBorder="1" applyAlignment="1">
      <alignment horizontal="right"/>
    </xf>
    <xf numFmtId="1" fontId="19" fillId="19" borderId="12" xfId="0" applyNumberFormat="1" applyFont="1" applyFill="1" applyBorder="1" applyAlignment="1">
      <alignment horizontal="right"/>
    </xf>
    <xf numFmtId="3" fontId="44" fillId="0" borderId="29" xfId="0" applyNumberFormat="1" applyFont="1" applyFill="1" applyBorder="1" applyAlignment="1">
      <alignment horizontal="center"/>
    </xf>
    <xf numFmtId="0" fontId="59" fillId="0" borderId="1" xfId="0" applyFont="1" applyFill="1" applyBorder="1" applyAlignment="1">
      <alignment wrapText="1"/>
    </xf>
    <xf numFmtId="3" fontId="19" fillId="19" borderId="28" xfId="0" applyNumberFormat="1" applyFont="1" applyFill="1" applyBorder="1" applyAlignment="1">
      <alignment horizontal="center"/>
    </xf>
    <xf numFmtId="0" fontId="50" fillId="19" borderId="4" xfId="0" applyFont="1" applyFill="1" applyBorder="1" applyAlignment="1">
      <alignment wrapText="1"/>
    </xf>
    <xf numFmtId="165" fontId="19" fillId="19" borderId="12" xfId="0" applyNumberFormat="1" applyFont="1" applyFill="1" applyBorder="1" applyAlignment="1">
      <alignment horizontal="right"/>
    </xf>
    <xf numFmtId="4" fontId="19" fillId="0" borderId="1" xfId="0" applyNumberFormat="1" applyFont="1" applyFill="1" applyBorder="1"/>
    <xf numFmtId="1" fontId="28" fillId="5" borderId="1" xfId="0" applyNumberFormat="1" applyFont="1" applyFill="1" applyBorder="1" applyAlignment="1">
      <alignment horizontal="right"/>
    </xf>
    <xf numFmtId="167" fontId="37" fillId="6" borderId="0" xfId="0" applyNumberFormat="1" applyFont="1" applyFill="1"/>
    <xf numFmtId="4" fontId="44" fillId="0" borderId="1" xfId="0" applyNumberFormat="1" applyFont="1" applyFill="1" applyBorder="1" applyAlignment="1">
      <alignment horizontal="center"/>
    </xf>
    <xf numFmtId="0" fontId="50" fillId="0" borderId="1" xfId="0" applyFont="1" applyFill="1" applyBorder="1" applyAlignment="1">
      <alignment wrapText="1"/>
    </xf>
    <xf numFmtId="0" fontId="50" fillId="0" borderId="1" xfId="0" applyFont="1" applyFill="1" applyBorder="1"/>
    <xf numFmtId="4" fontId="47" fillId="7" borderId="1" xfId="0" applyNumberFormat="1" applyFont="1" applyFill="1" applyBorder="1"/>
    <xf numFmtId="4" fontId="47" fillId="7" borderId="0" xfId="0" applyNumberFormat="1" applyFont="1" applyFill="1" applyBorder="1"/>
    <xf numFmtId="0" fontId="49" fillId="0" borderId="1" xfId="0" applyFont="1" applyFill="1" applyBorder="1"/>
    <xf numFmtId="1" fontId="44" fillId="5" borderId="1" xfId="0" applyNumberFormat="1" applyFont="1" applyFill="1" applyBorder="1" applyAlignment="1">
      <alignment horizontal="right"/>
    </xf>
    <xf numFmtId="4" fontId="40" fillId="7" borderId="1" xfId="0" applyNumberFormat="1" applyFont="1" applyFill="1" applyBorder="1"/>
    <xf numFmtId="4" fontId="40" fillId="7" borderId="0" xfId="0" applyNumberFormat="1" applyFont="1" applyFill="1" applyBorder="1"/>
    <xf numFmtId="1" fontId="19" fillId="5" borderId="1" xfId="0" applyNumberFormat="1" applyFont="1" applyFill="1" applyBorder="1" applyAlignment="1">
      <alignment horizontal="right"/>
    </xf>
    <xf numFmtId="0" fontId="44" fillId="0" borderId="28" xfId="0" applyNumberFormat="1" applyFont="1" applyFill="1" applyBorder="1" applyAlignment="1">
      <alignment horizontal="center"/>
    </xf>
    <xf numFmtId="0" fontId="49" fillId="19" borderId="4" xfId="0" applyFont="1" applyFill="1" applyBorder="1" applyAlignment="1">
      <alignment horizontal="left"/>
    </xf>
    <xf numFmtId="0" fontId="44" fillId="5" borderId="1" xfId="0" applyFont="1" applyFill="1" applyBorder="1"/>
    <xf numFmtId="167" fontId="28" fillId="6" borderId="0" xfId="0" applyNumberFormat="1" applyFont="1" applyFill="1"/>
    <xf numFmtId="0" fontId="61" fillId="10" borderId="4" xfId="0" applyFont="1" applyFill="1" applyBorder="1" applyAlignment="1">
      <alignment wrapText="1"/>
    </xf>
    <xf numFmtId="0" fontId="61" fillId="0" borderId="4" xfId="0" applyFont="1" applyFill="1" applyBorder="1"/>
    <xf numFmtId="1" fontId="19" fillId="0" borderId="1" xfId="0" applyNumberFormat="1" applyFont="1" applyFill="1" applyBorder="1" applyAlignment="1">
      <alignment horizontal="right" vertical="center" wrapText="1"/>
    </xf>
    <xf numFmtId="165" fontId="24" fillId="0" borderId="12" xfId="0" applyNumberFormat="1" applyFont="1" applyFill="1" applyBorder="1" applyAlignment="1">
      <alignment horizontal="right"/>
    </xf>
    <xf numFmtId="0" fontId="61" fillId="0" borderId="4" xfId="0" applyFont="1" applyFill="1" applyBorder="1" applyAlignment="1">
      <alignment wrapText="1"/>
    </xf>
    <xf numFmtId="0" fontId="62" fillId="0" borderId="14" xfId="0" applyFont="1" applyFill="1" applyBorder="1"/>
    <xf numFmtId="1" fontId="24" fillId="0" borderId="1" xfId="0" applyNumberFormat="1" applyFont="1" applyFill="1" applyBorder="1" applyAlignment="1">
      <alignment horizontal="right"/>
    </xf>
    <xf numFmtId="0" fontId="62" fillId="19" borderId="4" xfId="0" applyFont="1" applyFill="1" applyBorder="1" applyAlignment="1">
      <alignment wrapText="1"/>
    </xf>
    <xf numFmtId="0" fontId="62" fillId="19" borderId="14" xfId="0" applyFont="1" applyFill="1" applyBorder="1"/>
    <xf numFmtId="1" fontId="12" fillId="19" borderId="1" xfId="0" applyNumberFormat="1" applyFont="1" applyFill="1" applyBorder="1" applyAlignment="1">
      <alignment horizontal="right"/>
    </xf>
    <xf numFmtId="0" fontId="62" fillId="19" borderId="4" xfId="0" applyFont="1" applyFill="1" applyBorder="1"/>
    <xf numFmtId="0" fontId="61" fillId="19" borderId="14" xfId="0" applyFont="1" applyFill="1" applyBorder="1"/>
    <xf numFmtId="1" fontId="12" fillId="0" borderId="1" xfId="0" applyNumberFormat="1" applyFont="1" applyFill="1" applyBorder="1" applyAlignment="1">
      <alignment horizontal="right"/>
    </xf>
    <xf numFmtId="165" fontId="12" fillId="19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166" fontId="12" fillId="19" borderId="1" xfId="0" applyNumberFormat="1" applyFont="1" applyFill="1" applyBorder="1" applyAlignment="1">
      <alignment horizontal="right"/>
    </xf>
    <xf numFmtId="167" fontId="12" fillId="19" borderId="1" xfId="0" applyNumberFormat="1" applyFont="1" applyFill="1" applyBorder="1" applyAlignment="1">
      <alignment horizontal="right"/>
    </xf>
    <xf numFmtId="165" fontId="12" fillId="19" borderId="12" xfId="0" applyNumberFormat="1" applyFont="1" applyFill="1" applyBorder="1" applyAlignment="1">
      <alignment horizontal="right"/>
    </xf>
    <xf numFmtId="0" fontId="61" fillId="0" borderId="14" xfId="0" applyFont="1" applyFill="1" applyBorder="1" applyAlignment="1">
      <alignment wrapText="1"/>
    </xf>
    <xf numFmtId="165" fontId="24" fillId="0" borderId="1" xfId="0" applyNumberFormat="1" applyFont="1" applyFill="1" applyBorder="1" applyAlignment="1">
      <alignment horizontal="right"/>
    </xf>
    <xf numFmtId="166" fontId="24" fillId="0" borderId="1" xfId="0" applyNumberFormat="1" applyFont="1" applyFill="1" applyBorder="1" applyAlignment="1">
      <alignment horizontal="right"/>
    </xf>
    <xf numFmtId="167" fontId="24" fillId="0" borderId="1" xfId="0" applyNumberFormat="1" applyFont="1" applyFill="1" applyBorder="1" applyAlignment="1">
      <alignment horizontal="right"/>
    </xf>
    <xf numFmtId="0" fontId="61" fillId="19" borderId="4" xfId="0" applyFont="1" applyFill="1" applyBorder="1"/>
    <xf numFmtId="0" fontId="50" fillId="10" borderId="4" xfId="0" applyFont="1" applyFill="1" applyBorder="1" applyAlignment="1">
      <alignment horizontal="left"/>
    </xf>
    <xf numFmtId="3" fontId="24" fillId="0" borderId="1" xfId="0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/>
    <xf numFmtId="4" fontId="63" fillId="0" borderId="1" xfId="0" applyNumberFormat="1" applyFont="1" applyFill="1" applyBorder="1"/>
    <xf numFmtId="0" fontId="50" fillId="0" borderId="4" xfId="0" applyFont="1" applyFill="1" applyBorder="1" applyAlignment="1">
      <alignment horizontal="left"/>
    </xf>
    <xf numFmtId="4" fontId="28" fillId="5" borderId="31" xfId="0" applyNumberFormat="1" applyFont="1" applyFill="1" applyBorder="1" applyAlignment="1">
      <alignment wrapText="1"/>
    </xf>
    <xf numFmtId="4" fontId="64" fillId="5" borderId="31" xfId="0" applyNumberFormat="1" applyFont="1" applyFill="1" applyBorder="1" applyAlignment="1">
      <alignment wrapText="1"/>
    </xf>
    <xf numFmtId="0" fontId="44" fillId="5" borderId="12" xfId="0" applyFont="1" applyFill="1" applyBorder="1"/>
    <xf numFmtId="1" fontId="19" fillId="0" borderId="29" xfId="0" applyNumberFormat="1" applyFont="1" applyFill="1" applyBorder="1" applyAlignment="1">
      <alignment horizontal="center" vertical="center" wrapText="1"/>
    </xf>
    <xf numFmtId="4" fontId="65" fillId="0" borderId="1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4" fontId="66" fillId="0" borderId="1" xfId="0" applyNumberFormat="1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4" fontId="67" fillId="19" borderId="1" xfId="0" applyNumberFormat="1" applyFont="1" applyFill="1" applyBorder="1" applyAlignment="1">
      <alignment horizontal="center" vertical="center" wrapText="1"/>
    </xf>
    <xf numFmtId="0" fontId="49" fillId="19" borderId="14" xfId="0" applyFont="1" applyFill="1" applyBorder="1" applyAlignment="1">
      <alignment horizontal="center"/>
    </xf>
    <xf numFmtId="1" fontId="44" fillId="17" borderId="1" xfId="0" applyNumberFormat="1" applyFont="1" applyFill="1" applyBorder="1" applyAlignment="1">
      <alignment horizontal="center" vertical="center"/>
    </xf>
    <xf numFmtId="165" fontId="44" fillId="19" borderId="1" xfId="0" applyNumberFormat="1" applyFont="1" applyFill="1" applyBorder="1" applyAlignment="1">
      <alignment horizontal="center" vertical="center"/>
    </xf>
    <xf numFmtId="166" fontId="44" fillId="19" borderId="1" xfId="0" applyNumberFormat="1" applyFont="1" applyFill="1" applyBorder="1" applyAlignment="1">
      <alignment horizontal="center" vertical="center"/>
    </xf>
    <xf numFmtId="3" fontId="44" fillId="19" borderId="1" xfId="0" applyNumberFormat="1" applyFont="1" applyFill="1" applyBorder="1" applyAlignment="1">
      <alignment horizontal="center" vertical="center"/>
    </xf>
    <xf numFmtId="1" fontId="44" fillId="19" borderId="1" xfId="0" applyNumberFormat="1" applyFont="1" applyFill="1" applyBorder="1" applyAlignment="1">
      <alignment horizontal="center" vertical="center"/>
    </xf>
    <xf numFmtId="0" fontId="44" fillId="19" borderId="1" xfId="0" applyNumberFormat="1" applyFont="1" applyFill="1" applyBorder="1" applyAlignment="1">
      <alignment horizontal="center" vertical="center"/>
    </xf>
    <xf numFmtId="165" fontId="44" fillId="19" borderId="12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 vertical="center"/>
    </xf>
    <xf numFmtId="0" fontId="49" fillId="19" borderId="14" xfId="0" applyFont="1" applyFill="1" applyBorder="1" applyAlignment="1">
      <alignment horizontal="center" wrapText="1"/>
    </xf>
    <xf numFmtId="167" fontId="44" fillId="19" borderId="1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/>
    </xf>
    <xf numFmtId="0" fontId="65" fillId="0" borderId="1" xfId="0" applyFont="1" applyFill="1" applyBorder="1" applyAlignment="1">
      <alignment horizontal="center" vertical="center" wrapText="1" shrinkToFit="1"/>
    </xf>
    <xf numFmtId="4" fontId="19" fillId="0" borderId="1" xfId="0" applyNumberFormat="1" applyFont="1" applyFill="1" applyBorder="1" applyAlignment="1">
      <alignment horizontal="center" vertical="center"/>
    </xf>
    <xf numFmtId="0" fontId="50" fillId="19" borderId="4" xfId="0" applyFont="1" applyFill="1" applyBorder="1" applyAlignment="1">
      <alignment horizontal="center"/>
    </xf>
    <xf numFmtId="1" fontId="44" fillId="19" borderId="12" xfId="0" applyNumberFormat="1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1" fontId="44" fillId="17" borderId="5" xfId="0" applyNumberFormat="1" applyFont="1" applyFill="1" applyBorder="1" applyAlignment="1">
      <alignment horizontal="center" vertical="center"/>
    </xf>
    <xf numFmtId="165" fontId="44" fillId="19" borderId="5" xfId="0" applyNumberFormat="1" applyFont="1" applyFill="1" applyBorder="1" applyAlignment="1">
      <alignment horizontal="center" vertical="center"/>
    </xf>
    <xf numFmtId="1" fontId="44" fillId="19" borderId="5" xfId="0" applyNumberFormat="1" applyFont="1" applyFill="1" applyBorder="1" applyAlignment="1">
      <alignment horizontal="center" vertical="center"/>
    </xf>
    <xf numFmtId="3" fontId="44" fillId="19" borderId="5" xfId="0" applyNumberFormat="1" applyFont="1" applyFill="1" applyBorder="1" applyAlignment="1">
      <alignment horizontal="center" vertical="center"/>
    </xf>
    <xf numFmtId="2" fontId="44" fillId="19" borderId="5" xfId="0" applyNumberFormat="1" applyFont="1" applyFill="1" applyBorder="1" applyAlignment="1">
      <alignment horizontal="center" vertical="center"/>
    </xf>
    <xf numFmtId="167" fontId="44" fillId="19" borderId="5" xfId="0" applyNumberFormat="1" applyFont="1" applyFill="1" applyBorder="1" applyAlignment="1">
      <alignment horizontal="center" vertical="center"/>
    </xf>
    <xf numFmtId="1" fontId="44" fillId="5" borderId="31" xfId="0" applyNumberFormat="1" applyFont="1" applyFill="1" applyBorder="1" applyAlignment="1">
      <alignment horizontal="center" vertical="center"/>
    </xf>
    <xf numFmtId="1" fontId="44" fillId="5" borderId="33" xfId="0" applyNumberFormat="1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vertical="top" wrapText="1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top" wrapText="1"/>
    </xf>
    <xf numFmtId="4" fontId="44" fillId="19" borderId="31" xfId="0" applyNumberFormat="1" applyFont="1" applyFill="1" applyBorder="1" applyAlignment="1">
      <alignment wrapText="1"/>
    </xf>
    <xf numFmtId="166" fontId="19" fillId="19" borderId="31" xfId="0" applyNumberFormat="1" applyFont="1" applyFill="1" applyBorder="1"/>
    <xf numFmtId="165" fontId="44" fillId="19" borderId="31" xfId="0" applyNumberFormat="1" applyFont="1" applyFill="1" applyBorder="1"/>
    <xf numFmtId="165" fontId="44" fillId="19" borderId="33" xfId="0" applyNumberFormat="1" applyFont="1" applyFill="1" applyBorder="1"/>
    <xf numFmtId="1" fontId="19" fillId="19" borderId="1" xfId="0" applyNumberFormat="1" applyFont="1" applyFill="1" applyBorder="1" applyAlignment="1">
      <alignment horizontal="center" vertical="center"/>
    </xf>
    <xf numFmtId="1" fontId="19" fillId="19" borderId="0" xfId="0" applyNumberFormat="1" applyFont="1" applyFill="1" applyBorder="1" applyAlignment="1">
      <alignment horizontal="center" vertical="center"/>
    </xf>
    <xf numFmtId="0" fontId="40" fillId="19" borderId="0" xfId="0" applyFont="1" applyFill="1" applyBorder="1"/>
    <xf numFmtId="0" fontId="49" fillId="0" borderId="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wrapText="1"/>
    </xf>
    <xf numFmtId="0" fontId="49" fillId="19" borderId="4" xfId="0" applyFont="1" applyFill="1" applyBorder="1" applyAlignment="1">
      <alignment horizontal="right" wrapText="1"/>
    </xf>
    <xf numFmtId="0" fontId="40" fillId="6" borderId="0" xfId="0" applyFont="1" applyFill="1"/>
    <xf numFmtId="0" fontId="62" fillId="0" borderId="4" xfId="0" applyFont="1" applyFill="1" applyBorder="1"/>
    <xf numFmtId="165" fontId="12" fillId="0" borderId="12" xfId="0" applyNumberFormat="1" applyFont="1" applyFill="1" applyBorder="1" applyAlignment="1">
      <alignment horizontal="right"/>
    </xf>
    <xf numFmtId="4" fontId="44" fillId="0" borderId="36" xfId="0" applyNumberFormat="1" applyFont="1" applyFill="1" applyBorder="1" applyAlignment="1">
      <alignment horizontal="center"/>
    </xf>
    <xf numFmtId="0" fontId="50" fillId="0" borderId="0" xfId="0" applyFont="1" applyFill="1" applyBorder="1"/>
    <xf numFmtId="4" fontId="44" fillId="19" borderId="36" xfId="0" applyNumberFormat="1" applyFont="1" applyFill="1" applyBorder="1" applyAlignment="1">
      <alignment horizontal="center"/>
    </xf>
    <xf numFmtId="0" fontId="49" fillId="19" borderId="7" xfId="0" applyFont="1" applyFill="1" applyBorder="1"/>
    <xf numFmtId="0" fontId="48" fillId="19" borderId="0" xfId="0" applyFont="1" applyFill="1" applyBorder="1"/>
    <xf numFmtId="0" fontId="49" fillId="10" borderId="1" xfId="0" applyFont="1" applyFill="1" applyBorder="1" applyAlignment="1">
      <alignment wrapText="1"/>
    </xf>
    <xf numFmtId="0" fontId="49" fillId="0" borderId="1" xfId="0" applyFont="1" applyFill="1" applyBorder="1" applyAlignment="1">
      <alignment wrapText="1"/>
    </xf>
    <xf numFmtId="4" fontId="44" fillId="19" borderId="1" xfId="0" applyNumberFormat="1" applyFont="1" applyFill="1" applyBorder="1" applyAlignment="1">
      <alignment wrapText="1"/>
    </xf>
    <xf numFmtId="4" fontId="49" fillId="19" borderId="1" xfId="0" applyNumberFormat="1" applyFont="1" applyFill="1" applyBorder="1" applyAlignment="1">
      <alignment wrapText="1"/>
    </xf>
    <xf numFmtId="1" fontId="44" fillId="19" borderId="1" xfId="0" applyNumberFormat="1" applyFont="1" applyFill="1" applyBorder="1" applyAlignment="1">
      <alignment horizontal="center"/>
    </xf>
    <xf numFmtId="1" fontId="44" fillId="19" borderId="12" xfId="0" applyNumberFormat="1" applyFont="1" applyFill="1" applyBorder="1" applyAlignment="1">
      <alignment horizontal="center"/>
    </xf>
    <xf numFmtId="0" fontId="40" fillId="19" borderId="1" xfId="0" applyFont="1" applyFill="1" applyBorder="1"/>
    <xf numFmtId="0" fontId="37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right"/>
    </xf>
    <xf numFmtId="0" fontId="28" fillId="6" borderId="0" xfId="0" applyFont="1" applyFill="1" applyBorder="1" applyAlignment="1">
      <alignment horizontal="right"/>
    </xf>
    <xf numFmtId="0" fontId="70" fillId="0" borderId="1" xfId="0" applyFont="1" applyFill="1" applyBorder="1" applyAlignment="1">
      <alignment vertical="center" wrapText="1"/>
    </xf>
    <xf numFmtId="2" fontId="44" fillId="0" borderId="1" xfId="0" applyNumberFormat="1" applyFont="1" applyFill="1" applyBorder="1" applyAlignment="1">
      <alignment horizontal="right"/>
    </xf>
    <xf numFmtId="2" fontId="44" fillId="0" borderId="1" xfId="0" applyNumberFormat="1" applyFont="1" applyFill="1" applyBorder="1"/>
    <xf numFmtId="2" fontId="46" fillId="0" borderId="12" xfId="0" applyNumberFormat="1" applyFont="1" applyFill="1" applyBorder="1" applyAlignment="1">
      <alignment horizontal="right"/>
    </xf>
    <xf numFmtId="0" fontId="71" fillId="7" borderId="1" xfId="0" applyFont="1" applyFill="1" applyBorder="1" applyAlignment="1">
      <alignment vertical="center" wrapText="1"/>
    </xf>
    <xf numFmtId="0" fontId="61" fillId="0" borderId="14" xfId="0" applyFont="1" applyFill="1" applyBorder="1"/>
    <xf numFmtId="2" fontId="43" fillId="0" borderId="12" xfId="0" applyNumberFormat="1" applyFont="1" applyFill="1" applyBorder="1" applyAlignment="1">
      <alignment horizontal="right"/>
    </xf>
    <xf numFmtId="4" fontId="47" fillId="20" borderId="1" xfId="0" applyNumberFormat="1" applyFont="1" applyFill="1" applyBorder="1"/>
    <xf numFmtId="0" fontId="28" fillId="19" borderId="1" xfId="0" applyFont="1" applyFill="1" applyBorder="1" applyAlignment="1">
      <alignment vertical="center" wrapText="1"/>
    </xf>
    <xf numFmtId="0" fontId="61" fillId="19" borderId="14" xfId="0" applyFont="1" applyFill="1" applyBorder="1" applyAlignment="1">
      <alignment wrapText="1"/>
    </xf>
    <xf numFmtId="0" fontId="70" fillId="7" borderId="1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wrapText="1"/>
    </xf>
    <xf numFmtId="2" fontId="46" fillId="0" borderId="1" xfId="0" applyNumberFormat="1" applyFont="1" applyFill="1" applyBorder="1" applyAlignment="1">
      <alignment horizontal="right"/>
    </xf>
    <xf numFmtId="2" fontId="19" fillId="0" borderId="12" xfId="0" applyNumberFormat="1" applyFont="1" applyFill="1" applyBorder="1" applyAlignment="1">
      <alignment horizontal="right"/>
    </xf>
    <xf numFmtId="2" fontId="19" fillId="0" borderId="1" xfId="0" applyNumberFormat="1" applyFont="1" applyFill="1" applyBorder="1"/>
    <xf numFmtId="0" fontId="70" fillId="19" borderId="1" xfId="0" applyFont="1" applyFill="1" applyBorder="1" applyAlignment="1">
      <alignment vertical="center" wrapText="1"/>
    </xf>
    <xf numFmtId="0" fontId="48" fillId="19" borderId="4" xfId="0" applyFont="1" applyFill="1" applyBorder="1"/>
    <xf numFmtId="2" fontId="46" fillId="19" borderId="1" xfId="0" applyNumberFormat="1" applyFont="1" applyFill="1" applyBorder="1" applyAlignment="1">
      <alignment horizontal="right"/>
    </xf>
    <xf numFmtId="2" fontId="46" fillId="19" borderId="12" xfId="0" applyNumberFormat="1" applyFont="1" applyFill="1" applyBorder="1" applyAlignment="1">
      <alignment horizontal="right"/>
    </xf>
    <xf numFmtId="165" fontId="43" fillId="0" borderId="12" xfId="0" applyNumberFormat="1" applyFont="1" applyFill="1" applyBorder="1" applyAlignment="1">
      <alignment horizontal="right"/>
    </xf>
    <xf numFmtId="3" fontId="44" fillId="5" borderId="31" xfId="0" applyNumberFormat="1" applyFont="1" applyFill="1" applyBorder="1"/>
    <xf numFmtId="3" fontId="44" fillId="5" borderId="33" xfId="0" applyNumberFormat="1" applyFont="1" applyFill="1" applyBorder="1"/>
    <xf numFmtId="167" fontId="44" fillId="19" borderId="1" xfId="0" applyNumberFormat="1" applyFont="1" applyFill="1" applyBorder="1" applyAlignment="1">
      <alignment horizontal="right"/>
    </xf>
    <xf numFmtId="49" fontId="19" fillId="0" borderId="29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justify" vertical="top" wrapText="1"/>
    </xf>
    <xf numFmtId="0" fontId="72" fillId="0" borderId="14" xfId="0" applyFont="1" applyFill="1" applyBorder="1" applyAlignment="1">
      <alignment wrapText="1"/>
    </xf>
    <xf numFmtId="1" fontId="56" fillId="0" borderId="12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left" vertical="center" wrapText="1"/>
    </xf>
    <xf numFmtId="0" fontId="58" fillId="0" borderId="1" xfId="0" applyFont="1" applyFill="1" applyBorder="1" applyAlignment="1">
      <alignment vertical="center" wrapText="1"/>
    </xf>
    <xf numFmtId="4" fontId="44" fillId="5" borderId="1" xfId="0" applyNumberFormat="1" applyFont="1" applyFill="1" applyBorder="1"/>
    <xf numFmtId="1" fontId="12" fillId="19" borderId="12" xfId="0" applyNumberFormat="1" applyFont="1" applyFill="1" applyBorder="1" applyAlignment="1">
      <alignment horizontal="right"/>
    </xf>
    <xf numFmtId="1" fontId="46" fillId="19" borderId="1" xfId="0" applyNumberFormat="1" applyFont="1" applyFill="1" applyBorder="1" applyAlignment="1">
      <alignment horizontal="right"/>
    </xf>
    <xf numFmtId="3" fontId="44" fillId="19" borderId="1" xfId="0" applyNumberFormat="1" applyFont="1" applyFill="1" applyBorder="1"/>
    <xf numFmtId="2" fontId="44" fillId="19" borderId="1" xfId="0" applyNumberFormat="1" applyFont="1" applyFill="1" applyBorder="1" applyAlignment="1">
      <alignment horizontal="right"/>
    </xf>
    <xf numFmtId="4" fontId="44" fillId="5" borderId="28" xfId="0" applyNumberFormat="1" applyFont="1" applyFill="1" applyBorder="1" applyAlignment="1">
      <alignment horizontal="center"/>
    </xf>
    <xf numFmtId="4" fontId="62" fillId="5" borderId="31" xfId="0" applyNumberFormat="1" applyFont="1" applyFill="1" applyBorder="1" applyAlignment="1">
      <alignment wrapText="1"/>
    </xf>
    <xf numFmtId="1" fontId="12" fillId="5" borderId="33" xfId="0" applyNumberFormat="1" applyFont="1" applyFill="1" applyBorder="1"/>
    <xf numFmtId="4" fontId="73" fillId="5" borderId="1" xfId="0" applyNumberFormat="1" applyFont="1" applyFill="1" applyBorder="1"/>
    <xf numFmtId="4" fontId="73" fillId="5" borderId="0" xfId="0" applyNumberFormat="1" applyFont="1" applyFill="1" applyBorder="1"/>
    <xf numFmtId="0" fontId="74" fillId="10" borderId="4" xfId="0" applyFont="1" applyFill="1" applyBorder="1" applyAlignment="1">
      <alignment wrapText="1"/>
    </xf>
    <xf numFmtId="1" fontId="69" fillId="0" borderId="1" xfId="0" applyNumberFormat="1" applyFont="1" applyFill="1" applyBorder="1" applyAlignment="1">
      <alignment horizontal="center"/>
    </xf>
    <xf numFmtId="166" fontId="44" fillId="0" borderId="1" xfId="0" applyNumberFormat="1" applyFont="1" applyFill="1" applyBorder="1" applyAlignment="1">
      <alignment horizontal="center"/>
    </xf>
    <xf numFmtId="165" fontId="44" fillId="0" borderId="1" xfId="0" applyNumberFormat="1" applyFont="1" applyFill="1" applyBorder="1" applyAlignment="1">
      <alignment horizontal="center"/>
    </xf>
    <xf numFmtId="3" fontId="44" fillId="0" borderId="1" xfId="0" applyNumberFormat="1" applyFont="1" applyFill="1" applyBorder="1" applyAlignment="1">
      <alignment horizontal="center"/>
    </xf>
    <xf numFmtId="1" fontId="75" fillId="0" borderId="12" xfId="0" applyNumberFormat="1" applyFont="1" applyFill="1" applyBorder="1" applyAlignment="1">
      <alignment horizontal="center"/>
    </xf>
    <xf numFmtId="0" fontId="74" fillId="15" borderId="4" xfId="0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center"/>
    </xf>
    <xf numFmtId="1" fontId="75" fillId="0" borderId="1" xfId="0" applyNumberFormat="1" applyFont="1" applyFill="1" applyBorder="1" applyAlignment="1">
      <alignment horizontal="center"/>
    </xf>
    <xf numFmtId="1" fontId="44" fillId="0" borderId="1" xfId="0" applyNumberFormat="1" applyFont="1" applyFill="1" applyBorder="1" applyAlignment="1">
      <alignment horizontal="center"/>
    </xf>
    <xf numFmtId="0" fontId="76" fillId="19" borderId="4" xfId="0" applyFont="1" applyFill="1" applyBorder="1" applyAlignment="1">
      <alignment wrapText="1"/>
    </xf>
    <xf numFmtId="0" fontId="49" fillId="19" borderId="4" xfId="0" applyFont="1" applyFill="1" applyBorder="1" applyAlignment="1">
      <alignment horizontal="center"/>
    </xf>
    <xf numFmtId="1" fontId="75" fillId="19" borderId="1" xfId="0" applyNumberFormat="1" applyFont="1" applyFill="1" applyBorder="1" applyAlignment="1">
      <alignment horizontal="center"/>
    </xf>
    <xf numFmtId="1" fontId="75" fillId="19" borderId="12" xfId="0" applyNumberFormat="1" applyFont="1" applyFill="1" applyBorder="1" applyAlignment="1">
      <alignment horizontal="center"/>
    </xf>
    <xf numFmtId="3" fontId="44" fillId="19" borderId="1" xfId="0" applyNumberFormat="1" applyFont="1" applyFill="1" applyBorder="1" applyAlignment="1">
      <alignment horizontal="center"/>
    </xf>
    <xf numFmtId="4" fontId="44" fillId="19" borderId="1" xfId="0" applyNumberFormat="1" applyFont="1" applyFill="1" applyBorder="1" applyAlignment="1">
      <alignment horizontal="right"/>
    </xf>
    <xf numFmtId="1" fontId="19" fillId="0" borderId="1" xfId="0" applyNumberFormat="1" applyFont="1" applyFill="1" applyBorder="1" applyAlignment="1">
      <alignment horizontal="center"/>
    </xf>
    <xf numFmtId="0" fontId="50" fillId="0" borderId="4" xfId="0" applyFont="1" applyFill="1" applyBorder="1" applyAlignment="1">
      <alignment vertical="center" wrapText="1"/>
    </xf>
    <xf numFmtId="166" fontId="69" fillId="0" borderId="3" xfId="0" applyNumberFormat="1" applyFont="1" applyFill="1" applyBorder="1" applyAlignment="1"/>
    <xf numFmtId="166" fontId="69" fillId="0" borderId="4" xfId="0" applyNumberFormat="1" applyFont="1" applyFill="1" applyBorder="1" applyAlignment="1"/>
    <xf numFmtId="166" fontId="75" fillId="19" borderId="1" xfId="0" applyNumberFormat="1" applyFont="1" applyFill="1" applyBorder="1" applyAlignment="1">
      <alignment horizontal="center"/>
    </xf>
    <xf numFmtId="166" fontId="44" fillId="19" borderId="1" xfId="0" applyNumberFormat="1" applyFont="1" applyFill="1" applyBorder="1" applyAlignment="1">
      <alignment horizontal="center"/>
    </xf>
    <xf numFmtId="165" fontId="44" fillId="19" borderId="1" xfId="0" applyNumberFormat="1" applyFont="1" applyFill="1" applyBorder="1" applyAlignment="1">
      <alignment horizontal="center"/>
    </xf>
    <xf numFmtId="1" fontId="44" fillId="5" borderId="31" xfId="0" applyNumberFormat="1" applyFont="1" applyFill="1" applyBorder="1" applyAlignment="1">
      <alignment horizontal="center"/>
    </xf>
    <xf numFmtId="1" fontId="75" fillId="5" borderId="31" xfId="0" applyNumberFormat="1" applyFont="1" applyFill="1" applyBorder="1" applyAlignment="1">
      <alignment horizontal="center"/>
    </xf>
    <xf numFmtId="1" fontId="75" fillId="5" borderId="31" xfId="0" applyNumberFormat="1" applyFont="1" applyFill="1" applyBorder="1"/>
    <xf numFmtId="1" fontId="75" fillId="5" borderId="33" xfId="0" applyNumberFormat="1" applyFont="1" applyFill="1" applyBorder="1" applyAlignment="1">
      <alignment horizontal="center"/>
    </xf>
    <xf numFmtId="0" fontId="44" fillId="6" borderId="1" xfId="0" applyFont="1" applyFill="1" applyBorder="1"/>
    <xf numFmtId="166" fontId="44" fillId="6" borderId="1" xfId="0" applyNumberFormat="1" applyFont="1" applyFill="1" applyBorder="1"/>
    <xf numFmtId="166" fontId="44" fillId="6" borderId="12" xfId="0" applyNumberFormat="1" applyFont="1" applyFill="1" applyBorder="1"/>
    <xf numFmtId="0" fontId="44" fillId="0" borderId="1" xfId="0" applyFont="1" applyFill="1" applyBorder="1"/>
    <xf numFmtId="0" fontId="44" fillId="0" borderId="0" xfId="0" applyFont="1" applyFill="1" applyBorder="1"/>
    <xf numFmtId="4" fontId="10" fillId="7" borderId="1" xfId="0" applyNumberFormat="1" applyFont="1" applyFill="1" applyBorder="1" applyAlignment="1">
      <alignment wrapText="1"/>
    </xf>
    <xf numFmtId="4" fontId="20" fillId="0" borderId="0" xfId="0" applyNumberFormat="1" applyFont="1" applyAlignment="1">
      <alignment wrapText="1"/>
    </xf>
    <xf numFmtId="0" fontId="2" fillId="5" borderId="0" xfId="0" applyFont="1" applyFill="1"/>
    <xf numFmtId="0" fontId="4" fillId="7" borderId="6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wrapText="1"/>
    </xf>
    <xf numFmtId="0" fontId="3" fillId="0" borderId="12" xfId="0" applyFont="1" applyBorder="1" applyAlignment="1"/>
    <xf numFmtId="0" fontId="3" fillId="0" borderId="3" xfId="0" applyFont="1" applyBorder="1" applyAlignment="1"/>
    <xf numFmtId="4" fontId="78" fillId="9" borderId="1" xfId="0" applyNumberFormat="1" applyFont="1" applyFill="1" applyBorder="1"/>
    <xf numFmtId="4" fontId="0" fillId="0" borderId="1" xfId="0" applyNumberFormat="1" applyBorder="1"/>
    <xf numFmtId="0" fontId="4" fillId="5" borderId="12" xfId="0" applyFont="1" applyFill="1" applyBorder="1" applyAlignment="1"/>
    <xf numFmtId="0" fontId="4" fillId="5" borderId="4" xfId="0" applyFont="1" applyFill="1" applyBorder="1" applyAlignment="1"/>
    <xf numFmtId="0" fontId="6" fillId="5" borderId="3" xfId="0" applyFont="1" applyFill="1" applyBorder="1" applyAlignment="1"/>
    <xf numFmtId="0" fontId="3" fillId="5" borderId="3" xfId="0" applyFont="1" applyFill="1" applyBorder="1" applyAlignment="1"/>
    <xf numFmtId="0" fontId="4" fillId="0" borderId="12" xfId="0" applyFont="1" applyBorder="1" applyAlignment="1">
      <alignment wrapText="1"/>
    </xf>
    <xf numFmtId="0" fontId="0" fillId="0" borderId="12" xfId="0" applyBorder="1"/>
    <xf numFmtId="4" fontId="7" fillId="9" borderId="4" xfId="0" applyNumberFormat="1" applyFont="1" applyFill="1" applyBorder="1"/>
    <xf numFmtId="4" fontId="78" fillId="9" borderId="4" xfId="0" applyNumberFormat="1" applyFont="1" applyFill="1" applyBorder="1"/>
    <xf numFmtId="0" fontId="3" fillId="21" borderId="23" xfId="0" applyFont="1" applyFill="1" applyBorder="1" applyAlignment="1"/>
    <xf numFmtId="0" fontId="3" fillId="21" borderId="38" xfId="0" applyFont="1" applyFill="1" applyBorder="1" applyAlignment="1"/>
    <xf numFmtId="0" fontId="0" fillId="10" borderId="28" xfId="0" applyFill="1" applyBorder="1"/>
    <xf numFmtId="0" fontId="0" fillId="7" borderId="44" xfId="0" applyFill="1" applyBorder="1"/>
    <xf numFmtId="166" fontId="2" fillId="11" borderId="46" xfId="0" applyNumberFormat="1" applyFont="1" applyFill="1" applyBorder="1"/>
    <xf numFmtId="0" fontId="2" fillId="11" borderId="46" xfId="0" applyFont="1" applyFill="1" applyBorder="1"/>
    <xf numFmtId="0" fontId="0" fillId="11" borderId="45" xfId="0" applyFill="1" applyBorder="1"/>
    <xf numFmtId="0" fontId="4" fillId="6" borderId="1" xfId="0" applyFont="1" applyFill="1" applyBorder="1" applyAlignment="1">
      <alignment wrapText="1"/>
    </xf>
    <xf numFmtId="0" fontId="77" fillId="6" borderId="28" xfId="0" applyFont="1" applyFill="1" applyBorder="1" applyAlignment="1">
      <alignment wrapText="1"/>
    </xf>
    <xf numFmtId="0" fontId="77" fillId="6" borderId="1" xfId="0" applyFont="1" applyFill="1" applyBorder="1" applyAlignment="1">
      <alignment wrapText="1"/>
    </xf>
    <xf numFmtId="0" fontId="3" fillId="10" borderId="5" xfId="0" applyFont="1" applyFill="1" applyBorder="1" applyAlignment="1"/>
    <xf numFmtId="0" fontId="3" fillId="10" borderId="2" xfId="0" applyFont="1" applyFill="1" applyBorder="1" applyAlignment="1"/>
    <xf numFmtId="0" fontId="3" fillId="7" borderId="4" xfId="0" applyFont="1" applyFill="1" applyBorder="1" applyAlignment="1"/>
    <xf numFmtId="165" fontId="2" fillId="11" borderId="46" xfId="0" applyNumberFormat="1" applyFont="1" applyFill="1" applyBorder="1"/>
    <xf numFmtId="4" fontId="0" fillId="0" borderId="0" xfId="0" applyNumberFormat="1"/>
    <xf numFmtId="0" fontId="7" fillId="9" borderId="11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wrapText="1"/>
    </xf>
    <xf numFmtId="0" fontId="7" fillId="9" borderId="2" xfId="0" applyFont="1" applyFill="1" applyBorder="1" applyAlignment="1">
      <alignment wrapText="1"/>
    </xf>
    <xf numFmtId="3" fontId="10" fillId="0" borderId="0" xfId="0" applyNumberFormat="1" applyFont="1" applyAlignment="1">
      <alignment horizontal="center" wrapText="1"/>
    </xf>
    <xf numFmtId="3" fontId="10" fillId="0" borderId="0" xfId="0" applyNumberFormat="1" applyFont="1" applyBorder="1" applyAlignment="1">
      <alignment wrapText="1"/>
    </xf>
    <xf numFmtId="4" fontId="10" fillId="7" borderId="0" xfId="0" applyNumberFormat="1" applyFont="1" applyFill="1" applyAlignment="1">
      <alignment wrapText="1"/>
    </xf>
    <xf numFmtId="3" fontId="10" fillId="0" borderId="0" xfId="0" applyNumberFormat="1" applyFont="1" applyFill="1" applyAlignment="1">
      <alignment horizontal="center" wrapText="1"/>
    </xf>
    <xf numFmtId="3" fontId="10" fillId="0" borderId="1" xfId="0" applyNumberFormat="1" applyFont="1" applyBorder="1" applyAlignment="1">
      <alignment wrapText="1"/>
    </xf>
    <xf numFmtId="4" fontId="11" fillId="7" borderId="0" xfId="0" applyNumberFormat="1" applyFont="1" applyFill="1" applyAlignment="1">
      <alignment wrapText="1"/>
    </xf>
    <xf numFmtId="4" fontId="11" fillId="7" borderId="1" xfId="0" applyNumberFormat="1" applyFont="1" applyFill="1" applyBorder="1" applyAlignment="1">
      <alignment wrapText="1"/>
    </xf>
    <xf numFmtId="3" fontId="10" fillId="0" borderId="1" xfId="0" applyNumberFormat="1" applyFont="1" applyBorder="1" applyAlignment="1">
      <alignment horizontal="center" wrapText="1"/>
    </xf>
    <xf numFmtId="3" fontId="10" fillId="6" borderId="1" xfId="0" applyNumberFormat="1" applyFont="1" applyFill="1" applyBorder="1" applyAlignment="1">
      <alignment horizontal="center" wrapText="1"/>
    </xf>
    <xf numFmtId="3" fontId="11" fillId="6" borderId="1" xfId="0" applyNumberFormat="1" applyFont="1" applyFill="1" applyBorder="1" applyAlignment="1">
      <alignment wrapText="1"/>
    </xf>
    <xf numFmtId="3" fontId="11" fillId="5" borderId="1" xfId="0" applyNumberFormat="1" applyFont="1" applyFill="1" applyBorder="1" applyAlignment="1">
      <alignment horizontal="center" wrapText="1"/>
    </xf>
    <xf numFmtId="3" fontId="11" fillId="5" borderId="1" xfId="0" applyNumberFormat="1" applyFont="1" applyFill="1" applyBorder="1" applyAlignment="1">
      <alignment wrapText="1"/>
    </xf>
    <xf numFmtId="4" fontId="14" fillId="0" borderId="0" xfId="2" applyNumberFormat="1" applyFont="1" applyAlignment="1">
      <alignment wrapText="1"/>
    </xf>
    <xf numFmtId="4" fontId="18" fillId="0" borderId="16" xfId="4" applyNumberFormat="1" applyFont="1" applyBorder="1" applyAlignment="1">
      <alignment wrapText="1"/>
    </xf>
    <xf numFmtId="4" fontId="14" fillId="24" borderId="16" xfId="4" applyNumberFormat="1" applyFont="1" applyFill="1" applyBorder="1" applyAlignment="1">
      <alignment wrapText="1"/>
    </xf>
    <xf numFmtId="3" fontId="18" fillId="0" borderId="16" xfId="4" applyNumberFormat="1" applyFont="1" applyBorder="1" applyAlignment="1">
      <alignment wrapText="1"/>
    </xf>
    <xf numFmtId="4" fontId="18" fillId="0" borderId="0" xfId="4" applyNumberFormat="1" applyFont="1" applyAlignment="1">
      <alignment wrapText="1"/>
    </xf>
    <xf numFmtId="4" fontId="15" fillId="0" borderId="16" xfId="4" applyNumberFormat="1" applyFont="1" applyBorder="1" applyAlignment="1">
      <alignment wrapText="1"/>
    </xf>
    <xf numFmtId="3" fontId="16" fillId="0" borderId="16" xfId="4" applyNumberFormat="1" applyFont="1" applyBorder="1" applyAlignment="1">
      <alignment wrapText="1"/>
    </xf>
    <xf numFmtId="4" fontId="16" fillId="0" borderId="16" xfId="4" applyNumberFormat="1" applyFont="1" applyBorder="1" applyAlignment="1">
      <alignment wrapText="1"/>
    </xf>
    <xf numFmtId="4" fontId="18" fillId="27" borderId="16" xfId="4" applyNumberFormat="1" applyFont="1" applyFill="1" applyBorder="1" applyAlignment="1">
      <alignment wrapText="1"/>
    </xf>
    <xf numFmtId="4" fontId="15" fillId="27" borderId="16" xfId="4" applyNumberFormat="1" applyFont="1" applyFill="1" applyBorder="1" applyAlignment="1">
      <alignment wrapText="1"/>
    </xf>
    <xf numFmtId="4" fontId="16" fillId="27" borderId="16" xfId="4" applyNumberFormat="1" applyFont="1" applyFill="1" applyBorder="1" applyAlignment="1">
      <alignment wrapText="1"/>
    </xf>
    <xf numFmtId="4" fontId="16" fillId="24" borderId="16" xfId="4" applyNumberFormat="1" applyFont="1" applyFill="1" applyBorder="1" applyAlignment="1">
      <alignment wrapText="1"/>
    </xf>
    <xf numFmtId="4" fontId="16" fillId="0" borderId="0" xfId="4" applyNumberFormat="1" applyFont="1" applyAlignment="1">
      <alignment wrapText="1"/>
    </xf>
    <xf numFmtId="4" fontId="14" fillId="0" borderId="0" xfId="0" applyNumberFormat="1" applyFont="1" applyAlignment="1">
      <alignment wrapText="1"/>
    </xf>
    <xf numFmtId="4" fontId="14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4" fontId="80" fillId="0" borderId="1" xfId="0" applyNumberFormat="1" applyFont="1" applyBorder="1" applyAlignment="1">
      <alignment wrapText="1"/>
    </xf>
    <xf numFmtId="4" fontId="14" fillId="29" borderId="1" xfId="0" applyNumberFormat="1" applyFont="1" applyFill="1" applyBorder="1" applyAlignment="1">
      <alignment wrapText="1"/>
    </xf>
    <xf numFmtId="4" fontId="15" fillId="29" borderId="1" xfId="0" applyNumberFormat="1" applyFont="1" applyFill="1" applyBorder="1" applyAlignment="1">
      <alignment wrapText="1"/>
    </xf>
    <xf numFmtId="3" fontId="16" fillId="29" borderId="1" xfId="0" applyNumberFormat="1" applyFont="1" applyFill="1" applyBorder="1" applyAlignment="1">
      <alignment wrapText="1"/>
    </xf>
    <xf numFmtId="4" fontId="16" fillId="29" borderId="1" xfId="1" applyNumberFormat="1" applyFont="1" applyFill="1" applyBorder="1" applyAlignment="1">
      <alignment wrapText="1"/>
    </xf>
    <xf numFmtId="3" fontId="16" fillId="13" borderId="1" xfId="0" applyNumberFormat="1" applyFont="1" applyFill="1" applyBorder="1" applyAlignment="1">
      <alignment wrapText="1"/>
    </xf>
    <xf numFmtId="4" fontId="16" fillId="13" borderId="1" xfId="1" applyNumberFormat="1" applyFont="1" applyFill="1" applyBorder="1" applyAlignment="1">
      <alignment wrapText="1"/>
    </xf>
    <xf numFmtId="4" fontId="14" fillId="15" borderId="1" xfId="0" applyNumberFormat="1" applyFont="1" applyFill="1" applyBorder="1" applyAlignment="1">
      <alignment wrapText="1"/>
    </xf>
    <xf numFmtId="4" fontId="16" fillId="5" borderId="1" xfId="0" applyNumberFormat="1" applyFont="1" applyFill="1" applyBorder="1" applyAlignment="1">
      <alignment wrapText="1"/>
    </xf>
    <xf numFmtId="4" fontId="11" fillId="17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4" fontId="20" fillId="0" borderId="1" xfId="0" applyNumberFormat="1" applyFont="1" applyFill="1" applyBorder="1" applyAlignment="1">
      <alignment wrapText="1"/>
    </xf>
    <xf numFmtId="3" fontId="10" fillId="7" borderId="1" xfId="0" applyNumberFormat="1" applyFont="1" applyFill="1" applyBorder="1" applyAlignment="1">
      <alignment wrapText="1"/>
    </xf>
    <xf numFmtId="4" fontId="81" fillId="13" borderId="1" xfId="0" applyNumberFormat="1" applyFont="1" applyFill="1" applyBorder="1" applyAlignment="1">
      <alignment wrapText="1"/>
    </xf>
    <xf numFmtId="4" fontId="29" fillId="0" borderId="12" xfId="0" applyNumberFormat="1" applyFont="1" applyFill="1" applyBorder="1" applyAlignment="1">
      <alignment vertical="center" wrapText="1"/>
    </xf>
    <xf numFmtId="4" fontId="16" fillId="29" borderId="1" xfId="0" applyNumberFormat="1" applyFont="1" applyFill="1" applyBorder="1" applyAlignment="1">
      <alignment wrapText="1"/>
    </xf>
    <xf numFmtId="4" fontId="11" fillId="0" borderId="1" xfId="0" applyNumberFormat="1" applyFont="1" applyFill="1" applyBorder="1" applyAlignment="1">
      <alignment wrapText="1"/>
    </xf>
    <xf numFmtId="4" fontId="10" fillId="12" borderId="0" xfId="0" applyNumberFormat="1" applyFont="1" applyFill="1" applyAlignment="1">
      <alignment wrapText="1"/>
    </xf>
    <xf numFmtId="4" fontId="13" fillId="7" borderId="1" xfId="0" applyNumberFormat="1" applyFont="1" applyFill="1" applyBorder="1" applyAlignment="1">
      <alignment wrapText="1"/>
    </xf>
    <xf numFmtId="4" fontId="11" fillId="5" borderId="17" xfId="0" applyNumberFormat="1" applyFont="1" applyFill="1" applyBorder="1"/>
    <xf numFmtId="4" fontId="11" fillId="6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wrapText="1"/>
    </xf>
    <xf numFmtId="3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wrapText="1"/>
    </xf>
    <xf numFmtId="3" fontId="11" fillId="6" borderId="1" xfId="0" applyNumberFormat="1" applyFont="1" applyFill="1" applyBorder="1" applyAlignment="1">
      <alignment horizontal="center" wrapText="1"/>
    </xf>
    <xf numFmtId="3" fontId="10" fillId="11" borderId="1" xfId="0" applyNumberFormat="1" applyFont="1" applyFill="1" applyBorder="1" applyAlignment="1">
      <alignment horizontal="center" wrapText="1"/>
    </xf>
    <xf numFmtId="3" fontId="11" fillId="11" borderId="1" xfId="0" applyNumberFormat="1" applyFont="1" applyFill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1" fillId="6" borderId="12" xfId="0" applyNumberFormat="1" applyFont="1" applyFill="1" applyBorder="1" applyAlignment="1">
      <alignment wrapText="1"/>
    </xf>
    <xf numFmtId="4" fontId="11" fillId="5" borderId="12" xfId="0" applyNumberFormat="1" applyFont="1" applyFill="1" applyBorder="1" applyAlignment="1">
      <alignment wrapText="1"/>
    </xf>
    <xf numFmtId="4" fontId="10" fillId="0" borderId="12" xfId="0" applyNumberFormat="1" applyFont="1" applyFill="1" applyBorder="1" applyAlignment="1">
      <alignment wrapText="1"/>
    </xf>
    <xf numFmtId="4" fontId="10" fillId="7" borderId="12" xfId="0" applyNumberFormat="1" applyFont="1" applyFill="1" applyBorder="1" applyAlignment="1">
      <alignment wrapText="1"/>
    </xf>
    <xf numFmtId="4" fontId="10" fillId="7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55" fillId="7" borderId="1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4" fontId="11" fillId="17" borderId="12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horizontal="center" wrapText="1"/>
    </xf>
    <xf numFmtId="4" fontId="18" fillId="0" borderId="16" xfId="4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wrapText="1"/>
    </xf>
    <xf numFmtId="1" fontId="83" fillId="0" borderId="16" xfId="4" applyNumberFormat="1" applyFont="1" applyFill="1" applyBorder="1" applyAlignment="1">
      <alignment horizontal="center" vertical="center" wrapText="1"/>
    </xf>
    <xf numFmtId="1" fontId="83" fillId="0" borderId="16" xfId="4" applyNumberFormat="1" applyFont="1" applyFill="1" applyBorder="1" applyAlignment="1">
      <alignment horizontal="center"/>
    </xf>
    <xf numFmtId="1" fontId="84" fillId="24" borderId="16" xfId="4" applyNumberFormat="1" applyFont="1" applyFill="1" applyBorder="1" applyAlignment="1">
      <alignment horizontal="center"/>
    </xf>
    <xf numFmtId="166" fontId="83" fillId="0" borderId="16" xfId="4" applyNumberFormat="1" applyFont="1" applyFill="1" applyBorder="1" applyAlignment="1">
      <alignment horizontal="center"/>
    </xf>
    <xf numFmtId="166" fontId="84" fillId="24" borderId="16" xfId="4" applyNumberFormat="1" applyFont="1" applyFill="1" applyBorder="1" applyAlignment="1">
      <alignment horizontal="center"/>
    </xf>
    <xf numFmtId="1" fontId="43" fillId="0" borderId="1" xfId="0" applyNumberFormat="1" applyFont="1" applyFill="1" applyBorder="1" applyAlignment="1">
      <alignment horizontal="right" vertical="center" wrapText="1"/>
    </xf>
    <xf numFmtId="1" fontId="44" fillId="0" borderId="1" xfId="0" applyNumberFormat="1" applyFont="1" applyFill="1" applyBorder="1" applyAlignment="1">
      <alignment horizontal="center" vertical="center"/>
    </xf>
    <xf numFmtId="1" fontId="56" fillId="5" borderId="1" xfId="0" applyNumberFormat="1" applyFont="1" applyFill="1" applyBorder="1" applyAlignment="1">
      <alignment horizontal="right"/>
    </xf>
    <xf numFmtId="2" fontId="12" fillId="5" borderId="31" xfId="0" applyNumberFormat="1" applyFont="1" applyFill="1" applyBorder="1"/>
    <xf numFmtId="4" fontId="19" fillId="0" borderId="1" xfId="0" applyNumberFormat="1" applyFont="1" applyFill="1" applyBorder="1" applyAlignment="1">
      <alignment horizontal="right"/>
    </xf>
    <xf numFmtId="0" fontId="32" fillId="0" borderId="5" xfId="0" applyFont="1" applyFill="1" applyBorder="1" applyAlignment="1">
      <alignment horizontal="center" vertical="center" wrapText="1"/>
    </xf>
    <xf numFmtId="166" fontId="44" fillId="0" borderId="18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2" fillId="5" borderId="1" xfId="0" applyFont="1" applyFill="1" applyBorder="1"/>
    <xf numFmtId="0" fontId="0" fillId="31" borderId="1" xfId="0" applyFill="1" applyBorder="1"/>
    <xf numFmtId="0" fontId="2" fillId="8" borderId="1" xfId="0" applyFont="1" applyFill="1" applyBorder="1"/>
    <xf numFmtId="0" fontId="0" fillId="8" borderId="1" xfId="0" applyFill="1" applyBorder="1"/>
    <xf numFmtId="4" fontId="19" fillId="0" borderId="0" xfId="0" applyNumberFormat="1" applyFont="1" applyFill="1" applyBorder="1"/>
    <xf numFmtId="4" fontId="44" fillId="0" borderId="30" xfId="0" applyNumberFormat="1" applyFont="1" applyFill="1" applyBorder="1" applyAlignment="1">
      <alignment wrapText="1"/>
    </xf>
    <xf numFmtId="4" fontId="10" fillId="7" borderId="1" xfId="0" applyNumberFormat="1" applyFont="1" applyFill="1" applyBorder="1" applyAlignment="1">
      <alignment horizontal="center" wrapText="1"/>
    </xf>
    <xf numFmtId="4" fontId="11" fillId="7" borderId="1" xfId="0" applyNumberFormat="1" applyFont="1" applyFill="1" applyBorder="1" applyAlignment="1">
      <alignment horizontal="center" wrapText="1"/>
    </xf>
    <xf numFmtId="4" fontId="10" fillId="7" borderId="1" xfId="0" applyNumberFormat="1" applyFont="1" applyFill="1" applyBorder="1" applyAlignment="1">
      <alignment horizontal="center" wrapText="1"/>
    </xf>
    <xf numFmtId="4" fontId="2" fillId="10" borderId="1" xfId="0" applyNumberFormat="1" applyFont="1" applyFill="1" applyBorder="1"/>
    <xf numFmtId="4" fontId="2" fillId="9" borderId="1" xfId="0" applyNumberFormat="1" applyFont="1" applyFill="1" applyBorder="1"/>
    <xf numFmtId="0" fontId="2" fillId="10" borderId="1" xfId="0" applyFont="1" applyFill="1" applyBorder="1"/>
    <xf numFmtId="4" fontId="2" fillId="9" borderId="4" xfId="0" applyNumberFormat="1" applyFont="1" applyFill="1" applyBorder="1"/>
    <xf numFmtId="4" fontId="2" fillId="5" borderId="1" xfId="0" applyNumberFormat="1" applyFont="1" applyFill="1" applyBorder="1"/>
    <xf numFmtId="0" fontId="2" fillId="5" borderId="12" xfId="0" applyFont="1" applyFill="1" applyBorder="1"/>
    <xf numFmtId="0" fontId="2" fillId="5" borderId="28" xfId="0" applyFont="1" applyFill="1" applyBorder="1"/>
    <xf numFmtId="166" fontId="2" fillId="5" borderId="1" xfId="0" applyNumberFormat="1" applyFont="1" applyFill="1" applyBorder="1"/>
    <xf numFmtId="4" fontId="2" fillId="5" borderId="44" xfId="0" applyNumberFormat="1" applyFont="1" applyFill="1" applyBorder="1"/>
    <xf numFmtId="4" fontId="2" fillId="5" borderId="4" xfId="0" applyNumberFormat="1" applyFont="1" applyFill="1" applyBorder="1"/>
    <xf numFmtId="4" fontId="2" fillId="5" borderId="2" xfId="0" applyNumberFormat="1" applyFont="1" applyFill="1" applyBorder="1"/>
    <xf numFmtId="4" fontId="2" fillId="8" borderId="2" xfId="0" applyNumberFormat="1" applyFont="1" applyFill="1" applyBorder="1"/>
    <xf numFmtId="4" fontId="19" fillId="25" borderId="48" xfId="5" applyNumberFormat="1" applyFont="1" applyFill="1" applyBorder="1" applyAlignment="1">
      <alignment wrapText="1"/>
    </xf>
    <xf numFmtId="4" fontId="87" fillId="26" borderId="16" xfId="2" applyNumberFormat="1" applyFont="1" applyFill="1" applyBorder="1" applyAlignment="1">
      <alignment vertical="center" wrapText="1"/>
    </xf>
    <xf numFmtId="4" fontId="88" fillId="0" borderId="16" xfId="4" applyNumberFormat="1" applyFont="1" applyBorder="1" applyAlignment="1">
      <alignment wrapText="1"/>
    </xf>
    <xf numFmtId="4" fontId="20" fillId="25" borderId="47" xfId="5" applyNumberFormat="1" applyFont="1" applyFill="1" applyBorder="1" applyAlignment="1">
      <alignment wrapText="1"/>
    </xf>
    <xf numFmtId="4" fontId="87" fillId="0" borderId="16" xfId="2" applyNumberFormat="1" applyFont="1" applyFill="1" applyBorder="1" applyAlignment="1">
      <alignment vertical="center" wrapText="1"/>
    </xf>
    <xf numFmtId="4" fontId="19" fillId="25" borderId="49" xfId="5" applyNumberFormat="1" applyFont="1" applyFill="1" applyBorder="1" applyAlignment="1">
      <alignment wrapText="1"/>
    </xf>
    <xf numFmtId="4" fontId="20" fillId="26" borderId="48" xfId="5" applyNumberFormat="1" applyFont="1" applyFill="1" applyBorder="1" applyAlignment="1">
      <alignment wrapText="1"/>
    </xf>
    <xf numFmtId="4" fontId="89" fillId="0" borderId="16" xfId="2" applyNumberFormat="1" applyFont="1" applyBorder="1" applyAlignment="1">
      <alignment wrapText="1"/>
    </xf>
    <xf numFmtId="4" fontId="20" fillId="26" borderId="50" xfId="5" applyNumberFormat="1" applyFont="1" applyFill="1" applyBorder="1" applyAlignment="1">
      <alignment wrapText="1"/>
    </xf>
    <xf numFmtId="4" fontId="20" fillId="26" borderId="16" xfId="5" applyNumberFormat="1" applyFont="1" applyFill="1" applyBorder="1" applyAlignment="1">
      <alignment wrapText="1"/>
    </xf>
    <xf numFmtId="4" fontId="20" fillId="26" borderId="16" xfId="5" applyNumberFormat="1" applyFont="1" applyFill="1" applyBorder="1" applyAlignment="1">
      <alignment vertical="center" wrapText="1"/>
    </xf>
    <xf numFmtId="4" fontId="87" fillId="0" borderId="51" xfId="2" applyNumberFormat="1" applyFont="1" applyFill="1" applyBorder="1" applyAlignment="1">
      <alignment vertical="center" wrapText="1"/>
    </xf>
    <xf numFmtId="49" fontId="17" fillId="24" borderId="16" xfId="2" applyNumberFormat="1" applyFont="1" applyFill="1" applyBorder="1" applyAlignment="1">
      <alignment wrapText="1" shrinkToFit="1"/>
    </xf>
    <xf numFmtId="165" fontId="17" fillId="24" borderId="16" xfId="2" applyNumberFormat="1" applyFill="1" applyBorder="1"/>
    <xf numFmtId="0" fontId="17" fillId="24" borderId="0" xfId="2" applyFill="1"/>
    <xf numFmtId="49" fontId="17" fillId="0" borderId="16" xfId="2" applyNumberFormat="1" applyFont="1" applyBorder="1" applyAlignment="1">
      <alignment wrapText="1" shrinkToFit="1"/>
    </xf>
    <xf numFmtId="165" fontId="17" fillId="0" borderId="16" xfId="2" applyNumberFormat="1" applyBorder="1"/>
    <xf numFmtId="0" fontId="17" fillId="0" borderId="0" xfId="2"/>
    <xf numFmtId="0" fontId="90" fillId="24" borderId="16" xfId="2" applyFont="1" applyFill="1" applyBorder="1"/>
    <xf numFmtId="0" fontId="90" fillId="24" borderId="0" xfId="2" applyFont="1" applyFill="1"/>
    <xf numFmtId="4" fontId="90" fillId="24" borderId="16" xfId="2" applyNumberFormat="1" applyFont="1" applyFill="1" applyBorder="1"/>
    <xf numFmtId="0" fontId="90" fillId="24" borderId="52" xfId="2" applyFont="1" applyFill="1" applyBorder="1"/>
    <xf numFmtId="0" fontId="90" fillId="24" borderId="53" xfId="2" applyFont="1" applyFill="1" applyBorder="1"/>
    <xf numFmtId="166" fontId="90" fillId="24" borderId="16" xfId="2" applyNumberFormat="1" applyFont="1" applyFill="1" applyBorder="1"/>
    <xf numFmtId="4" fontId="90" fillId="24" borderId="54" xfId="2" applyNumberFormat="1" applyFont="1" applyFill="1" applyBorder="1"/>
    <xf numFmtId="4" fontId="90" fillId="24" borderId="49" xfId="2" applyNumberFormat="1" applyFont="1" applyFill="1" applyBorder="1"/>
    <xf numFmtId="4" fontId="90" fillId="24" borderId="55" xfId="2" applyNumberFormat="1" applyFont="1" applyFill="1" applyBorder="1"/>
    <xf numFmtId="0" fontId="17" fillId="0" borderId="16" xfId="2" applyBorder="1"/>
    <xf numFmtId="0" fontId="91" fillId="0" borderId="49" xfId="2" applyFont="1" applyBorder="1"/>
    <xf numFmtId="0" fontId="17" fillId="33" borderId="16" xfId="2" applyFill="1" applyBorder="1"/>
    <xf numFmtId="4" fontId="90" fillId="34" borderId="16" xfId="2" applyNumberFormat="1" applyFont="1" applyFill="1" applyBorder="1"/>
    <xf numFmtId="0" fontId="17" fillId="0" borderId="52" xfId="2" applyBorder="1"/>
    <xf numFmtId="0" fontId="17" fillId="33" borderId="53" xfId="2" applyFill="1" applyBorder="1"/>
    <xf numFmtId="4" fontId="90" fillId="33" borderId="16" xfId="2" applyNumberFormat="1" applyFont="1" applyFill="1" applyBorder="1"/>
    <xf numFmtId="0" fontId="90" fillId="33" borderId="16" xfId="2" applyFont="1" applyFill="1" applyBorder="1"/>
    <xf numFmtId="4" fontId="17" fillId="0" borderId="16" xfId="2" applyNumberFormat="1" applyBorder="1"/>
    <xf numFmtId="0" fontId="90" fillId="0" borderId="16" xfId="2" applyFont="1" applyBorder="1"/>
    <xf numFmtId="0" fontId="17" fillId="26" borderId="54" xfId="2" applyFill="1" applyBorder="1"/>
    <xf numFmtId="4" fontId="90" fillId="34" borderId="49" xfId="2" applyNumberFormat="1" applyFont="1" applyFill="1" applyBorder="1"/>
    <xf numFmtId="0" fontId="17" fillId="0" borderId="16" xfId="2" applyFill="1" applyBorder="1"/>
    <xf numFmtId="0" fontId="91" fillId="0" borderId="16" xfId="2" applyFont="1" applyFill="1" applyBorder="1"/>
    <xf numFmtId="0" fontId="92" fillId="0" borderId="49" xfId="2" applyFont="1" applyBorder="1"/>
    <xf numFmtId="4" fontId="93" fillId="34" borderId="16" xfId="2" applyNumberFormat="1" applyFont="1" applyFill="1" applyBorder="1"/>
    <xf numFmtId="4" fontId="93" fillId="34" borderId="49" xfId="2" applyNumberFormat="1" applyFont="1" applyFill="1" applyBorder="1"/>
    <xf numFmtId="4" fontId="94" fillId="34" borderId="16" xfId="2" applyNumberFormat="1" applyFont="1" applyFill="1" applyBorder="1"/>
    <xf numFmtId="4" fontId="94" fillId="34" borderId="49" xfId="2" applyNumberFormat="1" applyFont="1" applyFill="1" applyBorder="1"/>
    <xf numFmtId="166" fontId="44" fillId="26" borderId="16" xfId="2" applyNumberFormat="1" applyFont="1" applyFill="1" applyBorder="1" applyAlignment="1">
      <alignment horizontal="center"/>
    </xf>
    <xf numFmtId="0" fontId="40" fillId="0" borderId="0" xfId="2" applyFont="1" applyFill="1"/>
    <xf numFmtId="167" fontId="44" fillId="35" borderId="0" xfId="2" applyNumberFormat="1" applyFont="1" applyFill="1"/>
    <xf numFmtId="0" fontId="40" fillId="0" borderId="16" xfId="2" applyFont="1" applyFill="1" applyBorder="1"/>
    <xf numFmtId="0" fontId="40" fillId="0" borderId="0" xfId="2" applyFont="1" applyFill="1" applyBorder="1"/>
    <xf numFmtId="1" fontId="40" fillId="0" borderId="56" xfId="2" applyNumberFormat="1" applyFont="1" applyFill="1" applyBorder="1" applyAlignment="1">
      <alignment horizontal="center" vertical="center" wrapText="1"/>
    </xf>
    <xf numFmtId="2" fontId="44" fillId="33" borderId="16" xfId="2" applyNumberFormat="1" applyFont="1" applyFill="1" applyBorder="1" applyAlignment="1">
      <alignment horizontal="left" wrapText="1"/>
    </xf>
    <xf numFmtId="0" fontId="44" fillId="0" borderId="16" xfId="2" applyFont="1" applyFill="1" applyBorder="1" applyAlignment="1">
      <alignment horizontal="left"/>
    </xf>
    <xf numFmtId="4" fontId="19" fillId="36" borderId="16" xfId="2" applyNumberFormat="1" applyFont="1" applyFill="1" applyBorder="1" applyAlignment="1">
      <alignment horizontal="right"/>
    </xf>
    <xf numFmtId="1" fontId="40" fillId="0" borderId="16" xfId="2" applyNumberFormat="1" applyFont="1" applyFill="1" applyBorder="1" applyAlignment="1">
      <alignment horizontal="center" vertical="center" wrapText="1"/>
    </xf>
    <xf numFmtId="4" fontId="53" fillId="37" borderId="55" xfId="2" applyNumberFormat="1" applyFont="1" applyFill="1" applyBorder="1"/>
    <xf numFmtId="4" fontId="19" fillId="37" borderId="16" xfId="2" applyNumberFormat="1" applyFont="1" applyFill="1" applyBorder="1" applyAlignment="1">
      <alignment horizontal="right"/>
    </xf>
    <xf numFmtId="165" fontId="56" fillId="0" borderId="52" xfId="2" applyNumberFormat="1" applyFont="1" applyFill="1" applyBorder="1" applyAlignment="1">
      <alignment horizontal="right"/>
    </xf>
    <xf numFmtId="1" fontId="40" fillId="0" borderId="16" xfId="2" applyNumberFormat="1" applyFont="1" applyFill="1" applyBorder="1" applyAlignment="1">
      <alignment horizontal="center" vertical="center"/>
    </xf>
    <xf numFmtId="1" fontId="40" fillId="0" borderId="0" xfId="2" applyNumberFormat="1" applyFont="1" applyFill="1" applyBorder="1" applyAlignment="1">
      <alignment horizontal="center" vertical="center"/>
    </xf>
    <xf numFmtId="4" fontId="44" fillId="0" borderId="53" xfId="2" applyNumberFormat="1" applyFont="1" applyFill="1" applyBorder="1" applyAlignment="1">
      <alignment horizontal="center"/>
    </xf>
    <xf numFmtId="2" fontId="19" fillId="0" borderId="16" xfId="2" applyNumberFormat="1" applyFont="1" applyFill="1" applyBorder="1" applyAlignment="1">
      <alignment horizontal="left" wrapText="1"/>
    </xf>
    <xf numFmtId="0" fontId="19" fillId="0" borderId="16" xfId="2" applyFont="1" applyFill="1" applyBorder="1" applyAlignment="1">
      <alignment horizontal="left"/>
    </xf>
    <xf numFmtId="3" fontId="44" fillId="0" borderId="16" xfId="2" applyNumberFormat="1" applyFont="1" applyFill="1" applyBorder="1" applyAlignment="1">
      <alignment horizontal="right"/>
    </xf>
    <xf numFmtId="165" fontId="44" fillId="0" borderId="16" xfId="2" applyNumberFormat="1" applyFont="1" applyFill="1" applyBorder="1" applyAlignment="1">
      <alignment horizontal="right"/>
    </xf>
    <xf numFmtId="166" fontId="44" fillId="0" borderId="16" xfId="2" applyNumberFormat="1" applyFont="1" applyFill="1" applyBorder="1" applyAlignment="1">
      <alignment horizontal="right"/>
    </xf>
    <xf numFmtId="4" fontId="53" fillId="37" borderId="16" xfId="2" applyNumberFormat="1" applyFont="1" applyFill="1" applyBorder="1"/>
    <xf numFmtId="0" fontId="44" fillId="0" borderId="16" xfId="2" applyNumberFormat="1" applyFont="1" applyFill="1" applyBorder="1" applyAlignment="1">
      <alignment horizontal="right"/>
    </xf>
    <xf numFmtId="165" fontId="44" fillId="0" borderId="16" xfId="2" applyNumberFormat="1" applyFont="1" applyFill="1" applyBorder="1"/>
    <xf numFmtId="4" fontId="47" fillId="0" borderId="16" xfId="2" applyNumberFormat="1" applyFont="1" applyFill="1" applyBorder="1"/>
    <xf numFmtId="4" fontId="47" fillId="0" borderId="0" xfId="2" applyNumberFormat="1" applyFont="1" applyFill="1" applyBorder="1"/>
    <xf numFmtId="4" fontId="44" fillId="38" borderId="56" xfId="2" applyNumberFormat="1" applyFont="1" applyFill="1" applyBorder="1" applyAlignment="1">
      <alignment horizontal="center"/>
    </xf>
    <xf numFmtId="2" fontId="44" fillId="38" borderId="16" xfId="2" applyNumberFormat="1" applyFont="1" applyFill="1" applyBorder="1" applyAlignment="1">
      <alignment horizontal="left" wrapText="1"/>
    </xf>
    <xf numFmtId="0" fontId="44" fillId="38" borderId="16" xfId="2" applyFont="1" applyFill="1" applyBorder="1" applyAlignment="1">
      <alignment horizontal="left" wrapText="1"/>
    </xf>
    <xf numFmtId="1" fontId="57" fillId="38" borderId="16" xfId="2" applyNumberFormat="1" applyFont="1" applyFill="1" applyBorder="1" applyAlignment="1">
      <alignment horizontal="center"/>
    </xf>
    <xf numFmtId="1" fontId="57" fillId="38" borderId="52" xfId="2" applyNumberFormat="1" applyFont="1" applyFill="1" applyBorder="1" applyAlignment="1">
      <alignment horizontal="center"/>
    </xf>
    <xf numFmtId="4" fontId="47" fillId="38" borderId="16" xfId="2" applyNumberFormat="1" applyFont="1" applyFill="1" applyBorder="1"/>
    <xf numFmtId="4" fontId="47" fillId="38" borderId="0" xfId="2" applyNumberFormat="1" applyFont="1" applyFill="1" applyBorder="1"/>
    <xf numFmtId="3" fontId="19" fillId="0" borderId="56" xfId="2" applyNumberFormat="1" applyFont="1" applyFill="1" applyBorder="1" applyAlignment="1">
      <alignment horizontal="center"/>
    </xf>
    <xf numFmtId="0" fontId="44" fillId="0" borderId="16" xfId="2" applyFont="1" applyFill="1" applyBorder="1" applyAlignment="1">
      <alignment horizontal="left" wrapText="1"/>
    </xf>
    <xf numFmtId="165" fontId="19" fillId="0" borderId="16" xfId="2" applyNumberFormat="1" applyFont="1" applyFill="1" applyBorder="1" applyAlignment="1">
      <alignment horizontal="right"/>
    </xf>
    <xf numFmtId="166" fontId="19" fillId="0" borderId="16" xfId="2" applyNumberFormat="1" applyFont="1" applyFill="1" applyBorder="1" applyAlignment="1">
      <alignment horizontal="right"/>
    </xf>
    <xf numFmtId="167" fontId="19" fillId="0" borderId="16" xfId="2" applyNumberFormat="1" applyFont="1" applyFill="1" applyBorder="1" applyAlignment="1">
      <alignment horizontal="right"/>
    </xf>
    <xf numFmtId="165" fontId="58" fillId="0" borderId="52" xfId="2" applyNumberFormat="1" applyFont="1" applyFill="1" applyBorder="1" applyAlignment="1">
      <alignment horizontal="right"/>
    </xf>
    <xf numFmtId="4" fontId="40" fillId="0" borderId="16" xfId="2" applyNumberFormat="1" applyFont="1" applyFill="1" applyBorder="1"/>
    <xf numFmtId="4" fontId="40" fillId="0" borderId="0" xfId="2" applyNumberFormat="1" applyFont="1" applyFill="1" applyBorder="1"/>
    <xf numFmtId="4" fontId="19" fillId="0" borderId="56" xfId="2" applyNumberFormat="1" applyFont="1" applyFill="1" applyBorder="1" applyAlignment="1">
      <alignment horizontal="center"/>
    </xf>
    <xf numFmtId="0" fontId="19" fillId="0" borderId="16" xfId="2" applyFont="1" applyFill="1" applyBorder="1" applyAlignment="1">
      <alignment horizontal="left" wrapText="1"/>
    </xf>
    <xf numFmtId="1" fontId="56" fillId="0" borderId="16" xfId="2" applyNumberFormat="1" applyFont="1" applyFill="1" applyBorder="1" applyAlignment="1">
      <alignment horizontal="right"/>
    </xf>
    <xf numFmtId="3" fontId="44" fillId="0" borderId="53" xfId="2" applyNumberFormat="1" applyFont="1" applyFill="1" applyBorder="1" applyAlignment="1">
      <alignment horizontal="center"/>
    </xf>
    <xf numFmtId="3" fontId="19" fillId="0" borderId="16" xfId="2" applyNumberFormat="1" applyFont="1" applyFill="1" applyBorder="1" applyAlignment="1">
      <alignment horizontal="right"/>
    </xf>
    <xf numFmtId="0" fontId="19" fillId="0" borderId="16" xfId="2" applyNumberFormat="1" applyFont="1" applyFill="1" applyBorder="1" applyAlignment="1">
      <alignment horizontal="right"/>
    </xf>
    <xf numFmtId="3" fontId="19" fillId="0" borderId="16" xfId="2" applyNumberFormat="1" applyFont="1" applyFill="1" applyBorder="1"/>
    <xf numFmtId="4" fontId="19" fillId="0" borderId="53" xfId="2" applyNumberFormat="1" applyFont="1" applyFill="1" applyBorder="1" applyAlignment="1">
      <alignment horizontal="center"/>
    </xf>
    <xf numFmtId="165" fontId="19" fillId="0" borderId="16" xfId="2" applyNumberFormat="1" applyFont="1" applyFill="1" applyBorder="1"/>
    <xf numFmtId="4" fontId="19" fillId="38" borderId="53" xfId="2" applyNumberFormat="1" applyFont="1" applyFill="1" applyBorder="1" applyAlignment="1">
      <alignment horizontal="center"/>
    </xf>
    <xf numFmtId="0" fontId="44" fillId="38" borderId="16" xfId="2" applyFont="1" applyFill="1" applyBorder="1" applyAlignment="1">
      <alignment horizontal="left"/>
    </xf>
    <xf numFmtId="0" fontId="50" fillId="38" borderId="49" xfId="2" applyFont="1" applyFill="1" applyBorder="1"/>
    <xf numFmtId="166" fontId="57" fillId="38" borderId="16" xfId="2" applyNumberFormat="1" applyFont="1" applyFill="1" applyBorder="1" applyAlignment="1">
      <alignment horizontal="center"/>
    </xf>
    <xf numFmtId="166" fontId="57" fillId="38" borderId="52" xfId="2" applyNumberFormat="1" applyFont="1" applyFill="1" applyBorder="1" applyAlignment="1">
      <alignment horizontal="center"/>
    </xf>
    <xf numFmtId="4" fontId="40" fillId="38" borderId="16" xfId="2" applyNumberFormat="1" applyFont="1" applyFill="1" applyBorder="1"/>
    <xf numFmtId="4" fontId="40" fillId="38" borderId="0" xfId="2" applyNumberFormat="1" applyFont="1" applyFill="1" applyBorder="1"/>
    <xf numFmtId="4" fontId="44" fillId="24" borderId="57" xfId="2" applyNumberFormat="1" applyFont="1" applyFill="1" applyBorder="1" applyAlignment="1">
      <alignment wrapText="1"/>
    </xf>
    <xf numFmtId="4" fontId="49" fillId="24" borderId="58" xfId="2" applyNumberFormat="1" applyFont="1" applyFill="1" applyBorder="1" applyAlignment="1">
      <alignment wrapText="1"/>
    </xf>
    <xf numFmtId="1" fontId="95" fillId="24" borderId="58" xfId="2" applyNumberFormat="1" applyFont="1" applyFill="1" applyBorder="1"/>
    <xf numFmtId="1" fontId="56" fillId="24" borderId="59" xfId="2" applyNumberFormat="1" applyFont="1" applyFill="1" applyBorder="1"/>
    <xf numFmtId="164" fontId="2" fillId="5" borderId="1" xfId="1" applyFont="1" applyFill="1" applyBorder="1"/>
    <xf numFmtId="164" fontId="2" fillId="10" borderId="1" xfId="1" applyFont="1" applyFill="1" applyBorder="1"/>
    <xf numFmtId="164" fontId="0" fillId="0" borderId="1" xfId="1" applyFont="1" applyBorder="1"/>
    <xf numFmtId="164" fontId="2" fillId="0" borderId="1" xfId="1" applyFont="1" applyBorder="1"/>
    <xf numFmtId="164" fontId="0" fillId="0" borderId="1" xfId="1" applyFont="1" applyFill="1" applyBorder="1"/>
    <xf numFmtId="164" fontId="4" fillId="0" borderId="1" xfId="1" applyFont="1" applyFill="1" applyBorder="1"/>
    <xf numFmtId="164" fontId="44" fillId="19" borderId="1" xfId="1" applyFont="1" applyFill="1" applyBorder="1" applyAlignment="1">
      <alignment horizontal="right"/>
    </xf>
    <xf numFmtId="164" fontId="44" fillId="5" borderId="31" xfId="1" applyFont="1" applyFill="1" applyBorder="1"/>
    <xf numFmtId="49" fontId="0" fillId="13" borderId="1" xfId="0" applyNumberFormat="1" applyFill="1" applyBorder="1" applyAlignment="1">
      <alignment wrapText="1" shrinkToFit="1"/>
    </xf>
    <xf numFmtId="165" fontId="0" fillId="13" borderId="1" xfId="0" applyNumberFormat="1" applyFill="1" applyBorder="1"/>
    <xf numFmtId="0" fontId="0" fillId="13" borderId="0" xfId="0" applyFill="1"/>
    <xf numFmtId="0" fontId="90" fillId="13" borderId="1" xfId="0" applyFont="1" applyFill="1" applyBorder="1"/>
    <xf numFmtId="0" fontId="90" fillId="13" borderId="0" xfId="0" applyFont="1" applyFill="1"/>
    <xf numFmtId="4" fontId="90" fillId="13" borderId="1" xfId="0" applyNumberFormat="1" applyFont="1" applyFill="1" applyBorder="1"/>
    <xf numFmtId="0" fontId="90" fillId="13" borderId="12" xfId="0" applyFont="1" applyFill="1" applyBorder="1"/>
    <xf numFmtId="0" fontId="90" fillId="13" borderId="28" xfId="0" applyFont="1" applyFill="1" applyBorder="1"/>
    <xf numFmtId="166" fontId="90" fillId="13" borderId="1" xfId="0" applyNumberFormat="1" applyFont="1" applyFill="1" applyBorder="1"/>
    <xf numFmtId="1" fontId="90" fillId="13" borderId="1" xfId="0" applyNumberFormat="1" applyFont="1" applyFill="1" applyBorder="1"/>
    <xf numFmtId="4" fontId="90" fillId="13" borderId="44" xfId="0" applyNumberFormat="1" applyFont="1" applyFill="1" applyBorder="1"/>
    <xf numFmtId="4" fontId="90" fillId="13" borderId="4" xfId="0" applyNumberFormat="1" applyFont="1" applyFill="1" applyBorder="1"/>
    <xf numFmtId="4" fontId="90" fillId="13" borderId="2" xfId="0" applyNumberFormat="1" applyFont="1" applyFill="1" applyBorder="1"/>
    <xf numFmtId="0" fontId="91" fillId="0" borderId="4" xfId="0" applyFont="1" applyBorder="1"/>
    <xf numFmtId="0" fontId="0" fillId="39" borderId="1" xfId="0" applyFill="1" applyBorder="1"/>
    <xf numFmtId="4" fontId="90" fillId="40" borderId="1" xfId="0" applyNumberFormat="1" applyFont="1" applyFill="1" applyBorder="1"/>
    <xf numFmtId="0" fontId="0" fillId="39" borderId="28" xfId="0" applyFill="1" applyBorder="1"/>
    <xf numFmtId="4" fontId="90" fillId="39" borderId="1" xfId="0" applyNumberFormat="1" applyFont="1" applyFill="1" applyBorder="1"/>
    <xf numFmtId="0" fontId="90" fillId="39" borderId="1" xfId="0" applyFont="1" applyFill="1" applyBorder="1"/>
    <xf numFmtId="0" fontId="90" fillId="0" borderId="1" xfId="0" applyFont="1" applyBorder="1"/>
    <xf numFmtId="0" fontId="0" fillId="15" borderId="44" xfId="0" applyFill="1" applyBorder="1"/>
    <xf numFmtId="4" fontId="90" fillId="40" borderId="4" xfId="0" applyNumberFormat="1" applyFont="1" applyFill="1" applyBorder="1"/>
    <xf numFmtId="0" fontId="91" fillId="0" borderId="1" xfId="0" applyFont="1" applyFill="1" applyBorder="1"/>
    <xf numFmtId="0" fontId="92" fillId="0" borderId="4" xfId="0" applyFont="1" applyBorder="1"/>
    <xf numFmtId="4" fontId="93" fillId="40" borderId="1" xfId="0" applyNumberFormat="1" applyFont="1" applyFill="1" applyBorder="1"/>
    <xf numFmtId="4" fontId="93" fillId="40" borderId="4" xfId="0" applyNumberFormat="1" applyFont="1" applyFill="1" applyBorder="1"/>
    <xf numFmtId="4" fontId="96" fillId="40" borderId="1" xfId="0" applyNumberFormat="1" applyFont="1" applyFill="1" applyBorder="1"/>
    <xf numFmtId="4" fontId="96" fillId="40" borderId="4" xfId="0" applyNumberFormat="1" applyFont="1" applyFill="1" applyBorder="1"/>
    <xf numFmtId="166" fontId="44" fillId="15" borderId="1" xfId="0" applyNumberFormat="1" applyFont="1" applyFill="1" applyBorder="1" applyAlignment="1">
      <alignment horizontal="center"/>
    </xf>
    <xf numFmtId="167" fontId="28" fillId="41" borderId="0" xfId="0" applyNumberFormat="1" applyFont="1" applyFill="1"/>
    <xf numFmtId="4" fontId="19" fillId="42" borderId="1" xfId="0" applyNumberFormat="1" applyFont="1" applyFill="1" applyBorder="1" applyAlignment="1">
      <alignment horizontal="right"/>
    </xf>
    <xf numFmtId="4" fontId="53" fillId="43" borderId="2" xfId="0" applyNumberFormat="1" applyFont="1" applyFill="1" applyBorder="1"/>
    <xf numFmtId="4" fontId="19" fillId="43" borderId="1" xfId="0" applyNumberFormat="1" applyFont="1" applyFill="1" applyBorder="1" applyAlignment="1">
      <alignment horizontal="right"/>
    </xf>
    <xf numFmtId="4" fontId="28" fillId="13" borderId="29" xfId="0" applyNumberFormat="1" applyFont="1" applyFill="1" applyBorder="1" applyAlignment="1">
      <alignment horizontal="center"/>
    </xf>
    <xf numFmtId="0" fontId="28" fillId="13" borderId="4" xfId="0" applyFont="1" applyFill="1" applyBorder="1"/>
    <xf numFmtId="0" fontId="28" fillId="13" borderId="14" xfId="0" applyFont="1" applyFill="1" applyBorder="1" applyAlignment="1">
      <alignment wrapText="1"/>
    </xf>
    <xf numFmtId="1" fontId="28" fillId="13" borderId="1" xfId="0" applyNumberFormat="1" applyFont="1" applyFill="1" applyBorder="1" applyAlignment="1">
      <alignment horizontal="right"/>
    </xf>
    <xf numFmtId="1" fontId="28" fillId="41" borderId="1" xfId="0" applyNumberFormat="1" applyFont="1" applyFill="1" applyBorder="1" applyAlignment="1">
      <alignment horizontal="right"/>
    </xf>
    <xf numFmtId="4" fontId="28" fillId="13" borderId="0" xfId="0" applyNumberFormat="1" applyFont="1" applyFill="1" applyBorder="1"/>
    <xf numFmtId="4" fontId="97" fillId="39" borderId="1" xfId="0" applyNumberFormat="1" applyFont="1" applyFill="1" applyBorder="1"/>
    <xf numFmtId="0" fontId="97" fillId="39" borderId="1" xfId="0" applyFont="1" applyFill="1" applyBorder="1"/>
    <xf numFmtId="4" fontId="98" fillId="0" borderId="1" xfId="0" applyNumberFormat="1" applyFont="1" applyBorder="1"/>
    <xf numFmtId="4" fontId="92" fillId="0" borderId="1" xfId="0" applyNumberFormat="1" applyFont="1" applyBorder="1"/>
    <xf numFmtId="4" fontId="16" fillId="13" borderId="1" xfId="0" applyNumberFormat="1" applyFont="1" applyFill="1" applyBorder="1" applyAlignment="1">
      <alignment wrapText="1"/>
    </xf>
    <xf numFmtId="0" fontId="28" fillId="29" borderId="0" xfId="0" applyFont="1" applyFill="1"/>
    <xf numFmtId="0" fontId="40" fillId="13" borderId="1" xfId="0" applyFont="1" applyFill="1" applyBorder="1"/>
    <xf numFmtId="0" fontId="44" fillId="13" borderId="1" xfId="0" applyFont="1" applyFill="1" applyBorder="1"/>
    <xf numFmtId="1" fontId="44" fillId="13" borderId="1" xfId="0" applyNumberFormat="1" applyFont="1" applyFill="1" applyBorder="1"/>
    <xf numFmtId="1" fontId="44" fillId="13" borderId="12" xfId="0" applyNumberFormat="1" applyFont="1" applyFill="1" applyBorder="1"/>
    <xf numFmtId="1" fontId="2" fillId="5" borderId="1" xfId="0" applyNumberFormat="1" applyFont="1" applyFill="1" applyBorder="1"/>
    <xf numFmtId="4" fontId="2" fillId="6" borderId="2" xfId="0" applyNumberFormat="1" applyFont="1" applyFill="1" applyBorder="1"/>
    <xf numFmtId="1" fontId="0" fillId="0" borderId="1" xfId="0" applyNumberFormat="1" applyBorder="1"/>
    <xf numFmtId="0" fontId="0" fillId="0" borderId="1" xfId="0" applyNumberFormat="1" applyFill="1" applyBorder="1"/>
    <xf numFmtId="2" fontId="2" fillId="5" borderId="1" xfId="0" applyNumberFormat="1" applyFont="1" applyFill="1" applyBorder="1"/>
    <xf numFmtId="2" fontId="0" fillId="0" borderId="1" xfId="0" applyNumberFormat="1" applyBorder="1"/>
    <xf numFmtId="2" fontId="2" fillId="0" borderId="1" xfId="0" applyNumberFormat="1" applyFont="1" applyBorder="1"/>
    <xf numFmtId="2" fontId="4" fillId="0" borderId="1" xfId="0" applyNumberFormat="1" applyFont="1" applyFill="1" applyBorder="1"/>
    <xf numFmtId="4" fontId="11" fillId="7" borderId="0" xfId="0" applyNumberFormat="1" applyFont="1" applyFill="1" applyBorder="1" applyAlignment="1">
      <alignment wrapText="1"/>
    </xf>
    <xf numFmtId="4" fontId="2" fillId="0" borderId="1" xfId="0" applyNumberFormat="1" applyFont="1" applyBorder="1"/>
    <xf numFmtId="4" fontId="0" fillId="0" borderId="1" xfId="0" applyNumberFormat="1" applyFill="1" applyBorder="1"/>
    <xf numFmtId="4" fontId="4" fillId="0" borderId="1" xfId="0" applyNumberFormat="1" applyFont="1" applyFill="1" applyBorder="1"/>
    <xf numFmtId="4" fontId="0" fillId="7" borderId="44" xfId="0" applyNumberFormat="1" applyFill="1" applyBorder="1"/>
    <xf numFmtId="4" fontId="0" fillId="10" borderId="1" xfId="0" applyNumberFormat="1" applyFill="1" applyBorder="1"/>
    <xf numFmtId="4" fontId="10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44" fillId="19" borderId="35" xfId="0" applyNumberFormat="1" applyFont="1" applyFill="1" applyBorder="1" applyAlignment="1">
      <alignment horizontal="center"/>
    </xf>
    <xf numFmtId="0" fontId="49" fillId="19" borderId="7" xfId="0" applyFont="1" applyFill="1" applyBorder="1" applyAlignment="1">
      <alignment horizontal="center"/>
    </xf>
    <xf numFmtId="165" fontId="44" fillId="19" borderId="8" xfId="0" applyNumberFormat="1" applyFont="1" applyFill="1" applyBorder="1" applyAlignment="1">
      <alignment horizontal="center" vertical="center"/>
    </xf>
    <xf numFmtId="3" fontId="44" fillId="5" borderId="31" xfId="0" applyNumberFormat="1" applyFont="1" applyFill="1" applyBorder="1" applyAlignment="1">
      <alignment horizontal="center" vertical="center"/>
    </xf>
    <xf numFmtId="4" fontId="44" fillId="19" borderId="1" xfId="0" applyNumberFormat="1" applyFont="1" applyFill="1" applyBorder="1" applyAlignment="1">
      <alignment horizontal="center" vertical="center"/>
    </xf>
    <xf numFmtId="4" fontId="44" fillId="19" borderId="5" xfId="0" applyNumberFormat="1" applyFont="1" applyFill="1" applyBorder="1" applyAlignment="1">
      <alignment horizontal="center" vertical="center"/>
    </xf>
    <xf numFmtId="4" fontId="44" fillId="5" borderId="3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3" fontId="80" fillId="0" borderId="1" xfId="0" applyNumberFormat="1" applyFont="1" applyBorder="1" applyAlignment="1">
      <alignment wrapText="1"/>
    </xf>
    <xf numFmtId="4" fontId="80" fillId="0" borderId="0" xfId="0" applyNumberFormat="1" applyFont="1" applyAlignment="1">
      <alignment wrapText="1"/>
    </xf>
    <xf numFmtId="166" fontId="75" fillId="7" borderId="1" xfId="0" applyNumberFormat="1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center"/>
    </xf>
    <xf numFmtId="1" fontId="75" fillId="5" borderId="1" xfId="0" applyNumberFormat="1" applyFont="1" applyFill="1" applyBorder="1" applyAlignment="1">
      <alignment horizontal="center" vertical="center"/>
    </xf>
    <xf numFmtId="4" fontId="75" fillId="5" borderId="1" xfId="0" applyNumberFormat="1" applyFont="1" applyFill="1" applyBorder="1" applyAlignment="1">
      <alignment horizontal="center" vertical="center"/>
    </xf>
    <xf numFmtId="1" fontId="75" fillId="5" borderId="12" xfId="0" applyNumberFormat="1" applyFont="1" applyFill="1" applyBorder="1" applyAlignment="1">
      <alignment horizontal="center" vertical="center"/>
    </xf>
    <xf numFmtId="4" fontId="44" fillId="0" borderId="1" xfId="0" applyNumberFormat="1" applyFont="1" applyFill="1" applyBorder="1"/>
    <xf numFmtId="4" fontId="44" fillId="0" borderId="1" xfId="0" applyNumberFormat="1" applyFont="1" applyFill="1" applyBorder="1" applyAlignment="1">
      <alignment horizontal="right"/>
    </xf>
    <xf numFmtId="4" fontId="44" fillId="19" borderId="31" xfId="0" applyNumberFormat="1" applyFont="1" applyFill="1" applyBorder="1"/>
    <xf numFmtId="4" fontId="28" fillId="5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/>
    <xf numFmtId="4" fontId="90" fillId="41" borderId="1" xfId="0" applyNumberFormat="1" applyFont="1" applyFill="1" applyBorder="1"/>
    <xf numFmtId="2" fontId="90" fillId="13" borderId="1" xfId="0" applyNumberFormat="1" applyFont="1" applyFill="1" applyBorder="1"/>
    <xf numFmtId="4" fontId="90" fillId="44" borderId="2" xfId="0" applyNumberFormat="1" applyFont="1" applyFill="1" applyBorder="1"/>
    <xf numFmtId="0" fontId="0" fillId="41" borderId="0" xfId="0" applyFill="1"/>
    <xf numFmtId="0" fontId="0" fillId="0" borderId="15" xfId="0" applyBorder="1"/>
    <xf numFmtId="2" fontId="90" fillId="39" borderId="1" xfId="0" applyNumberFormat="1" applyFont="1" applyFill="1" applyBorder="1"/>
    <xf numFmtId="2" fontId="91" fillId="0" borderId="1" xfId="0" applyNumberFormat="1" applyFont="1" applyFill="1" applyBorder="1"/>
    <xf numFmtId="2" fontId="90" fillId="0" borderId="1" xfId="0" applyNumberFormat="1" applyFont="1" applyBorder="1"/>
    <xf numFmtId="4" fontId="100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 applyAlignment="1">
      <alignment wrapText="1"/>
    </xf>
    <xf numFmtId="4" fontId="101" fillId="0" borderId="1" xfId="0" applyNumberFormat="1" applyFont="1" applyBorder="1" applyAlignment="1">
      <alignment wrapText="1"/>
    </xf>
    <xf numFmtId="4" fontId="102" fillId="0" borderId="1" xfId="0" applyNumberFormat="1" applyFont="1" applyBorder="1" applyAlignment="1">
      <alignment wrapText="1"/>
    </xf>
    <xf numFmtId="4" fontId="44" fillId="13" borderId="30" xfId="0" applyNumberFormat="1" applyFont="1" applyFill="1" applyBorder="1" applyAlignment="1">
      <alignment wrapText="1"/>
    </xf>
    <xf numFmtId="4" fontId="49" fillId="13" borderId="31" xfId="0" applyNumberFormat="1" applyFont="1" applyFill="1" applyBorder="1" applyAlignment="1">
      <alignment wrapText="1"/>
    </xf>
    <xf numFmtId="4" fontId="2" fillId="0" borderId="2" xfId="0" applyNumberFormat="1" applyFont="1" applyFill="1" applyBorder="1"/>
    <xf numFmtId="0" fontId="0" fillId="0" borderId="28" xfId="0" applyFill="1" applyBorder="1"/>
    <xf numFmtId="0" fontId="0" fillId="45" borderId="1" xfId="0" applyFill="1" applyBorder="1"/>
    <xf numFmtId="0" fontId="0" fillId="46" borderId="28" xfId="0" applyFill="1" applyBorder="1"/>
    <xf numFmtId="3" fontId="11" fillId="0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49" fontId="2" fillId="10" borderId="1" xfId="0" applyNumberFormat="1" applyFont="1" applyFill="1" applyBorder="1"/>
    <xf numFmtId="49" fontId="0" fillId="0" borderId="1" xfId="0" applyNumberFormat="1" applyBorder="1"/>
    <xf numFmtId="165" fontId="14" fillId="0" borderId="1" xfId="0" applyNumberFormat="1" applyFont="1" applyBorder="1" applyAlignment="1">
      <alignment wrapText="1"/>
    </xf>
    <xf numFmtId="0" fontId="49" fillId="39" borderId="4" xfId="0" applyFont="1" applyFill="1" applyBorder="1" applyAlignment="1">
      <alignment wrapText="1"/>
    </xf>
    <xf numFmtId="4" fontId="44" fillId="3" borderId="29" xfId="0" applyNumberFormat="1" applyFont="1" applyFill="1" applyBorder="1" applyAlignment="1">
      <alignment horizontal="center"/>
    </xf>
    <xf numFmtId="4" fontId="49" fillId="3" borderId="1" xfId="0" applyNumberFormat="1" applyFont="1" applyFill="1" applyBorder="1" applyAlignment="1">
      <alignment wrapText="1"/>
    </xf>
    <xf numFmtId="0" fontId="49" fillId="3" borderId="14" xfId="0" applyFont="1" applyFill="1" applyBorder="1" applyAlignment="1">
      <alignment wrapText="1"/>
    </xf>
    <xf numFmtId="166" fontId="44" fillId="3" borderId="1" xfId="0" applyNumberFormat="1" applyFont="1" applyFill="1" applyBorder="1"/>
    <xf numFmtId="166" fontId="44" fillId="3" borderId="12" xfId="0" applyNumberFormat="1" applyFont="1" applyFill="1" applyBorder="1"/>
    <xf numFmtId="4" fontId="47" fillId="3" borderId="1" xfId="0" applyNumberFormat="1" applyFont="1" applyFill="1" applyBorder="1"/>
    <xf numFmtId="4" fontId="47" fillId="3" borderId="0" xfId="0" applyNumberFormat="1" applyFont="1" applyFill="1" applyBorder="1"/>
    <xf numFmtId="1" fontId="44" fillId="13" borderId="31" xfId="0" applyNumberFormat="1" applyFont="1" applyFill="1" applyBorder="1"/>
    <xf numFmtId="1" fontId="44" fillId="13" borderId="33" xfId="0" applyNumberFormat="1" applyFont="1" applyFill="1" applyBorder="1"/>
    <xf numFmtId="0" fontId="28" fillId="29" borderId="1" xfId="0" applyNumberFormat="1" applyFont="1" applyFill="1" applyBorder="1" applyAlignment="1">
      <alignment horizontal="right"/>
    </xf>
    <xf numFmtId="4" fontId="19" fillId="3" borderId="29" xfId="0" applyNumberFormat="1" applyFont="1" applyFill="1" applyBorder="1" applyAlignment="1">
      <alignment horizontal="center"/>
    </xf>
    <xf numFmtId="0" fontId="49" fillId="3" borderId="4" xfId="0" applyFont="1" applyFill="1" applyBorder="1" applyAlignment="1">
      <alignment wrapText="1"/>
    </xf>
    <xf numFmtId="1" fontId="44" fillId="3" borderId="1" xfId="0" applyNumberFormat="1" applyFont="1" applyFill="1" applyBorder="1" applyAlignment="1">
      <alignment horizontal="right"/>
    </xf>
    <xf numFmtId="1" fontId="44" fillId="3" borderId="12" xfId="0" applyNumberFormat="1" applyFont="1" applyFill="1" applyBorder="1" applyAlignment="1">
      <alignment horizontal="right"/>
    </xf>
    <xf numFmtId="4" fontId="40" fillId="3" borderId="1" xfId="0" applyNumberFormat="1" applyFont="1" applyFill="1" applyBorder="1"/>
    <xf numFmtId="4" fontId="40" fillId="3" borderId="0" xfId="0" applyNumberFormat="1" applyFont="1" applyFill="1" applyBorder="1"/>
    <xf numFmtId="4" fontId="90" fillId="26" borderId="55" xfId="2" applyNumberFormat="1" applyFont="1" applyFill="1" applyBorder="1"/>
    <xf numFmtId="0" fontId="77" fillId="0" borderId="16" xfId="2" applyFont="1" applyBorder="1"/>
    <xf numFmtId="4" fontId="18" fillId="24" borderId="16" xfId="4" applyNumberFormat="1" applyFont="1" applyFill="1" applyBorder="1" applyAlignment="1">
      <alignment wrapText="1"/>
    </xf>
    <xf numFmtId="4" fontId="15" fillId="24" borderId="16" xfId="4" applyNumberFormat="1" applyFont="1" applyFill="1" applyBorder="1" applyAlignment="1">
      <alignment wrapText="1"/>
    </xf>
    <xf numFmtId="4" fontId="16" fillId="24" borderId="51" xfId="4" applyNumberFormat="1" applyFont="1" applyFill="1" applyBorder="1" applyAlignment="1">
      <alignment wrapText="1"/>
    </xf>
    <xf numFmtId="168" fontId="28" fillId="35" borderId="0" xfId="2" applyNumberFormat="1" applyFont="1" applyFill="1"/>
    <xf numFmtId="0" fontId="50" fillId="33" borderId="49" xfId="2" applyFont="1" applyFill="1" applyBorder="1" applyAlignment="1">
      <alignment wrapText="1"/>
    </xf>
    <xf numFmtId="0" fontId="50" fillId="0" borderId="49" xfId="2" applyFont="1" applyFill="1" applyBorder="1"/>
    <xf numFmtId="1" fontId="19" fillId="0" borderId="16" xfId="2" applyNumberFormat="1" applyFont="1" applyFill="1" applyBorder="1" applyAlignment="1">
      <alignment horizontal="right"/>
    </xf>
    <xf numFmtId="165" fontId="19" fillId="0" borderId="52" xfId="2" applyNumberFormat="1" applyFont="1" applyFill="1" applyBorder="1" applyAlignment="1">
      <alignment horizontal="right"/>
    </xf>
    <xf numFmtId="0" fontId="50" fillId="0" borderId="49" xfId="2" applyFont="1" applyFill="1" applyBorder="1" applyAlignment="1">
      <alignment wrapText="1"/>
    </xf>
    <xf numFmtId="0" fontId="50" fillId="0" borderId="48" xfId="2" applyFont="1" applyFill="1" applyBorder="1"/>
    <xf numFmtId="4" fontId="19" fillId="38" borderId="56" xfId="2" applyNumberFormat="1" applyFont="1" applyFill="1" applyBorder="1" applyAlignment="1">
      <alignment horizontal="center"/>
    </xf>
    <xf numFmtId="0" fontId="49" fillId="38" borderId="49" xfId="2" applyFont="1" applyFill="1" applyBorder="1" applyAlignment="1">
      <alignment wrapText="1"/>
    </xf>
    <xf numFmtId="0" fontId="50" fillId="38" borderId="48" xfId="2" applyFont="1" applyFill="1" applyBorder="1"/>
    <xf numFmtId="1" fontId="44" fillId="38" borderId="16" xfId="2" applyNumberFormat="1" applyFont="1" applyFill="1" applyBorder="1" applyAlignment="1">
      <alignment horizontal="right"/>
    </xf>
    <xf numFmtId="1" fontId="44" fillId="47" borderId="16" xfId="2" applyNumberFormat="1" applyFont="1" applyFill="1" applyBorder="1" applyAlignment="1">
      <alignment horizontal="right"/>
    </xf>
    <xf numFmtId="1" fontId="44" fillId="38" borderId="52" xfId="2" applyNumberFormat="1" applyFont="1" applyFill="1" applyBorder="1" applyAlignment="1">
      <alignment horizontal="right"/>
    </xf>
    <xf numFmtId="0" fontId="49" fillId="38" borderId="49" xfId="2" applyFont="1" applyFill="1" applyBorder="1"/>
    <xf numFmtId="0" fontId="49" fillId="38" borderId="48" xfId="2" applyFont="1" applyFill="1" applyBorder="1"/>
    <xf numFmtId="165" fontId="44" fillId="38" borderId="16" xfId="2" applyNumberFormat="1" applyFont="1" applyFill="1" applyBorder="1" applyAlignment="1">
      <alignment horizontal="right"/>
    </xf>
    <xf numFmtId="166" fontId="44" fillId="38" borderId="16" xfId="2" applyNumberFormat="1" applyFont="1" applyFill="1" applyBorder="1" applyAlignment="1">
      <alignment horizontal="right"/>
    </xf>
    <xf numFmtId="167" fontId="44" fillId="38" borderId="16" xfId="2" applyNumberFormat="1" applyFont="1" applyFill="1" applyBorder="1" applyAlignment="1">
      <alignment horizontal="right"/>
    </xf>
    <xf numFmtId="165" fontId="44" fillId="38" borderId="52" xfId="2" applyNumberFormat="1" applyFont="1" applyFill="1" applyBorder="1" applyAlignment="1">
      <alignment horizontal="right"/>
    </xf>
    <xf numFmtId="0" fontId="44" fillId="38" borderId="56" xfId="2" applyNumberFormat="1" applyFont="1" applyFill="1" applyBorder="1" applyAlignment="1">
      <alignment horizontal="center"/>
    </xf>
    <xf numFmtId="0" fontId="49" fillId="38" borderId="48" xfId="2" applyFont="1" applyFill="1" applyBorder="1" applyAlignment="1">
      <alignment wrapText="1"/>
    </xf>
    <xf numFmtId="0" fontId="44" fillId="0" borderId="56" xfId="2" applyNumberFormat="1" applyFont="1" applyFill="1" applyBorder="1" applyAlignment="1">
      <alignment horizontal="center"/>
    </xf>
    <xf numFmtId="0" fontId="49" fillId="33" borderId="49" xfId="2" applyFont="1" applyFill="1" applyBorder="1" applyAlignment="1">
      <alignment wrapText="1"/>
    </xf>
    <xf numFmtId="0" fontId="49" fillId="0" borderId="48" xfId="2" applyFont="1" applyFill="1" applyBorder="1" applyAlignment="1">
      <alignment wrapText="1"/>
    </xf>
    <xf numFmtId="1" fontId="44" fillId="0" borderId="16" xfId="2" applyNumberFormat="1" applyFont="1" applyFill="1" applyBorder="1" applyAlignment="1">
      <alignment horizontal="right"/>
    </xf>
    <xf numFmtId="167" fontId="44" fillId="0" borderId="16" xfId="2" applyNumberFormat="1" applyFont="1" applyFill="1" applyBorder="1" applyAlignment="1">
      <alignment horizontal="right"/>
    </xf>
    <xf numFmtId="165" fontId="44" fillId="0" borderId="52" xfId="2" applyNumberFormat="1" applyFont="1" applyFill="1" applyBorder="1" applyAlignment="1">
      <alignment horizontal="right"/>
    </xf>
    <xf numFmtId="0" fontId="19" fillId="0" borderId="56" xfId="2" applyNumberFormat="1" applyFont="1" applyFill="1" applyBorder="1" applyAlignment="1">
      <alignment horizontal="center"/>
    </xf>
    <xf numFmtId="0" fontId="50" fillId="0" borderId="48" xfId="2" applyFont="1" applyFill="1" applyBorder="1" applyAlignment="1">
      <alignment wrapText="1"/>
    </xf>
    <xf numFmtId="0" fontId="19" fillId="38" borderId="56" xfId="2" applyNumberFormat="1" applyFont="1" applyFill="1" applyBorder="1" applyAlignment="1">
      <alignment horizontal="center"/>
    </xf>
    <xf numFmtId="0" fontId="50" fillId="38" borderId="48" xfId="2" applyFont="1" applyFill="1" applyBorder="1" applyAlignment="1">
      <alignment wrapText="1"/>
    </xf>
    <xf numFmtId="0" fontId="44" fillId="38" borderId="53" xfId="2" applyNumberFormat="1" applyFont="1" applyFill="1" applyBorder="1" applyAlignment="1">
      <alignment horizontal="center"/>
    </xf>
    <xf numFmtId="0" fontId="49" fillId="38" borderId="47" xfId="2" applyFont="1" applyFill="1" applyBorder="1" applyAlignment="1">
      <alignment wrapText="1"/>
    </xf>
    <xf numFmtId="0" fontId="47" fillId="24" borderId="16" xfId="2" applyFont="1" applyFill="1" applyBorder="1"/>
    <xf numFmtId="0" fontId="28" fillId="24" borderId="16" xfId="2" applyFont="1" applyFill="1" applyBorder="1"/>
    <xf numFmtId="1" fontId="44" fillId="24" borderId="16" xfId="2" applyNumberFormat="1" applyFont="1" applyFill="1" applyBorder="1"/>
    <xf numFmtId="1" fontId="44" fillId="24" borderId="52" xfId="2" applyNumberFormat="1" applyFont="1" applyFill="1" applyBorder="1"/>
    <xf numFmtId="4" fontId="2" fillId="7" borderId="2" xfId="0" applyNumberFormat="1" applyFont="1" applyFill="1" applyBorder="1"/>
    <xf numFmtId="3" fontId="0" fillId="0" borderId="1" xfId="0" applyNumberFormat="1" applyBorder="1" applyAlignment="1">
      <alignment horizontal="center"/>
    </xf>
    <xf numFmtId="0" fontId="0" fillId="7" borderId="1" xfId="0" applyFill="1" applyBorder="1"/>
    <xf numFmtId="2" fontId="44" fillId="6" borderId="1" xfId="0" applyNumberFormat="1" applyFont="1" applyFill="1" applyBorder="1" applyAlignment="1">
      <alignment horizontal="center"/>
    </xf>
    <xf numFmtId="166" fontId="44" fillId="6" borderId="1" xfId="0" applyNumberFormat="1" applyFont="1" applyFill="1" applyBorder="1" applyAlignment="1">
      <alignment horizontal="center"/>
    </xf>
    <xf numFmtId="0" fontId="40" fillId="6" borderId="1" xfId="0" applyFont="1" applyFill="1" applyBorder="1"/>
    <xf numFmtId="2" fontId="44" fillId="7" borderId="1" xfId="0" applyNumberFormat="1" applyFont="1" applyFill="1" applyBorder="1" applyAlignment="1">
      <alignment horizontal="center"/>
    </xf>
    <xf numFmtId="2" fontId="44" fillId="22" borderId="1" xfId="0" applyNumberFormat="1" applyFont="1" applyFill="1" applyBorder="1" applyAlignment="1">
      <alignment horizontal="right"/>
    </xf>
    <xf numFmtId="2" fontId="44" fillId="5" borderId="31" xfId="0" applyNumberFormat="1" applyFont="1" applyFill="1" applyBorder="1" applyAlignment="1">
      <alignment horizontal="center"/>
    </xf>
    <xf numFmtId="4" fontId="44" fillId="5" borderId="31" xfId="0" applyNumberFormat="1" applyFont="1" applyFill="1" applyBorder="1"/>
    <xf numFmtId="4" fontId="44" fillId="19" borderId="1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0" fillId="0" borderId="4" xfId="0" applyBorder="1"/>
    <xf numFmtId="0" fontId="78" fillId="0" borderId="12" xfId="0" applyFont="1" applyBorder="1"/>
    <xf numFmtId="0" fontId="78" fillId="0" borderId="1" xfId="0" applyFont="1" applyBorder="1"/>
    <xf numFmtId="4" fontId="2" fillId="8" borderId="44" xfId="0" applyNumberFormat="1" applyFont="1" applyFill="1" applyBorder="1"/>
    <xf numFmtId="0" fontId="0" fillId="7" borderId="12" xfId="0" applyFill="1" applyBorder="1" applyAlignment="1">
      <alignment horizontal="center"/>
    </xf>
    <xf numFmtId="4" fontId="2" fillId="8" borderId="9" xfId="0" applyNumberFormat="1" applyFont="1" applyFill="1" applyBorder="1"/>
    <xf numFmtId="4" fontId="2" fillId="6" borderId="9" xfId="0" applyNumberFormat="1" applyFont="1" applyFill="1" applyBorder="1"/>
    <xf numFmtId="4" fontId="90" fillId="32" borderId="60" xfId="2" applyNumberFormat="1" applyFont="1" applyFill="1" applyBorder="1"/>
    <xf numFmtId="4" fontId="90" fillId="13" borderId="9" xfId="0" applyNumberFormat="1" applyFont="1" applyFill="1" applyBorder="1"/>
    <xf numFmtId="4" fontId="90" fillId="29" borderId="9" xfId="0" applyNumberFormat="1" applyFont="1" applyFill="1" applyBorder="1"/>
    <xf numFmtId="0" fontId="17" fillId="0" borderId="1" xfId="2" applyBorder="1"/>
    <xf numFmtId="0" fontId="17" fillId="0" borderId="0" xfId="2" applyBorder="1"/>
    <xf numFmtId="0" fontId="0" fillId="0" borderId="0" xfId="0" applyBorder="1"/>
    <xf numFmtId="4" fontId="0" fillId="8" borderId="1" xfId="0" applyNumberFormat="1" applyFill="1" applyBorder="1"/>
    <xf numFmtId="4" fontId="7" fillId="8" borderId="1" xfId="0" applyNumberFormat="1" applyFont="1" applyFill="1" applyBorder="1"/>
    <xf numFmtId="4" fontId="2" fillId="12" borderId="9" xfId="0" applyNumberFormat="1" applyFont="1" applyFill="1" applyBorder="1"/>
    <xf numFmtId="4" fontId="2" fillId="12" borderId="1" xfId="0" applyNumberFormat="1" applyFont="1" applyFill="1" applyBorder="1"/>
    <xf numFmtId="3" fontId="0" fillId="0" borderId="1" xfId="0" applyNumberFormat="1" applyBorder="1"/>
    <xf numFmtId="4" fontId="2" fillId="22" borderId="1" xfId="0" applyNumberFormat="1" applyFont="1" applyFill="1" applyBorder="1"/>
    <xf numFmtId="0" fontId="0" fillId="22" borderId="28" xfId="0" applyFill="1" applyBorder="1"/>
    <xf numFmtId="4" fontId="90" fillId="8" borderId="16" xfId="2" applyNumberFormat="1" applyFont="1" applyFill="1" applyBorder="1"/>
    <xf numFmtId="3" fontId="2" fillId="8" borderId="1" xfId="0" applyNumberFormat="1" applyFont="1" applyFill="1" applyBorder="1"/>
    <xf numFmtId="4" fontId="44" fillId="7" borderId="29" xfId="0" applyNumberFormat="1" applyFont="1" applyFill="1" applyBorder="1" applyAlignment="1">
      <alignment horizontal="center"/>
    </xf>
    <xf numFmtId="0" fontId="61" fillId="7" borderId="4" xfId="0" applyFont="1" applyFill="1" applyBorder="1"/>
    <xf numFmtId="0" fontId="61" fillId="7" borderId="14" xfId="0" applyFont="1" applyFill="1" applyBorder="1"/>
    <xf numFmtId="165" fontId="12" fillId="7" borderId="1" xfId="0" applyNumberFormat="1" applyFont="1" applyFill="1" applyBorder="1" applyAlignment="1">
      <alignment horizontal="right"/>
    </xf>
    <xf numFmtId="165" fontId="24" fillId="7" borderId="1" xfId="0" applyNumberFormat="1" applyFont="1" applyFill="1" applyBorder="1" applyAlignment="1">
      <alignment horizontal="right"/>
    </xf>
    <xf numFmtId="166" fontId="24" fillId="7" borderId="1" xfId="0" applyNumberFormat="1" applyFont="1" applyFill="1" applyBorder="1" applyAlignment="1">
      <alignment horizontal="right"/>
    </xf>
    <xf numFmtId="166" fontId="12" fillId="7" borderId="1" xfId="0" applyNumberFormat="1" applyFont="1" applyFill="1" applyBorder="1" applyAlignment="1">
      <alignment horizontal="right"/>
    </xf>
    <xf numFmtId="167" fontId="12" fillId="7" borderId="1" xfId="0" applyNumberFormat="1" applyFont="1" applyFill="1" applyBorder="1" applyAlignment="1">
      <alignment horizontal="right"/>
    </xf>
    <xf numFmtId="165" fontId="24" fillId="7" borderId="12" xfId="0" applyNumberFormat="1" applyFont="1" applyFill="1" applyBorder="1" applyAlignment="1">
      <alignment horizontal="right"/>
    </xf>
    <xf numFmtId="4" fontId="19" fillId="19" borderId="1" xfId="0" applyNumberFormat="1" applyFont="1" applyFill="1" applyBorder="1" applyAlignment="1">
      <alignment horizontal="right"/>
    </xf>
    <xf numFmtId="4" fontId="53" fillId="19" borderId="2" xfId="0" applyNumberFormat="1" applyFont="1" applyFill="1" applyBorder="1"/>
    <xf numFmtId="0" fontId="4" fillId="0" borderId="0" xfId="0" applyFont="1"/>
    <xf numFmtId="4" fontId="78" fillId="8" borderId="1" xfId="0" applyNumberFormat="1" applyFont="1" applyFill="1" applyBorder="1"/>
    <xf numFmtId="0" fontId="0" fillId="41" borderId="1" xfId="0" applyFill="1" applyBorder="1"/>
    <xf numFmtId="0" fontId="0" fillId="5" borderId="1" xfId="0" applyFill="1" applyBorder="1"/>
    <xf numFmtId="4" fontId="0" fillId="5" borderId="1" xfId="0" applyNumberFormat="1" applyFill="1" applyBorder="1"/>
    <xf numFmtId="4" fontId="2" fillId="5" borderId="1" xfId="0" applyNumberFormat="1" applyFont="1" applyFill="1" applyBorder="1" applyAlignment="1">
      <alignment wrapText="1"/>
    </xf>
    <xf numFmtId="0" fontId="78" fillId="22" borderId="12" xfId="0" applyFont="1" applyFill="1" applyBorder="1"/>
    <xf numFmtId="4" fontId="90" fillId="8" borderId="1" xfId="0" applyNumberFormat="1" applyFont="1" applyFill="1" applyBorder="1"/>
    <xf numFmtId="0" fontId="93" fillId="39" borderId="1" xfId="0" applyFont="1" applyFill="1" applyBorder="1"/>
    <xf numFmtId="0" fontId="2" fillId="5" borderId="9" xfId="0" applyFont="1" applyFill="1" applyBorder="1"/>
    <xf numFmtId="0" fontId="2" fillId="5" borderId="29" xfId="0" applyFont="1" applyFill="1" applyBorder="1"/>
    <xf numFmtId="166" fontId="2" fillId="5" borderId="2" xfId="0" applyNumberFormat="1" applyFont="1" applyFill="1" applyBorder="1"/>
    <xf numFmtId="4" fontId="2" fillId="5" borderId="43" xfId="0" applyNumberFormat="1" applyFont="1" applyFill="1" applyBorder="1"/>
    <xf numFmtId="4" fontId="2" fillId="5" borderId="10" xfId="0" applyNumberFormat="1" applyFont="1" applyFill="1" applyBorder="1"/>
    <xf numFmtId="4" fontId="2" fillId="12" borderId="2" xfId="0" applyNumberFormat="1" applyFont="1" applyFill="1" applyBorder="1"/>
    <xf numFmtId="4" fontId="3" fillId="6" borderId="1" xfId="0" applyNumberFormat="1" applyFont="1" applyFill="1" applyBorder="1"/>
    <xf numFmtId="0" fontId="91" fillId="0" borderId="1" xfId="0" applyFont="1" applyBorder="1"/>
    <xf numFmtId="0" fontId="0" fillId="15" borderId="1" xfId="0" applyFill="1" applyBorder="1"/>
    <xf numFmtId="0" fontId="92" fillId="0" borderId="1" xfId="0" applyFont="1" applyBorder="1"/>
    <xf numFmtId="4" fontId="90" fillId="22" borderId="1" xfId="0" applyNumberFormat="1" applyFont="1" applyFill="1" applyBorder="1"/>
    <xf numFmtId="0" fontId="0" fillId="7" borderId="3" xfId="0" applyFill="1" applyBorder="1"/>
    <xf numFmtId="4" fontId="10" fillId="7" borderId="1" xfId="0" applyNumberFormat="1" applyFont="1" applyFill="1" applyBorder="1" applyAlignment="1">
      <alignment horizontal="center" wrapText="1"/>
    </xf>
    <xf numFmtId="4" fontId="11" fillId="7" borderId="1" xfId="0" applyNumberFormat="1" applyFont="1" applyFill="1" applyBorder="1" applyAlignment="1">
      <alignment horizontal="center" wrapText="1"/>
    </xf>
    <xf numFmtId="4" fontId="11" fillId="12" borderId="14" xfId="0" applyNumberFormat="1" applyFont="1" applyFill="1" applyBorder="1" applyAlignment="1">
      <alignment horizontal="center" wrapText="1"/>
    </xf>
    <xf numFmtId="0" fontId="77" fillId="0" borderId="0" xfId="0" applyFont="1"/>
    <xf numFmtId="0" fontId="103" fillId="0" borderId="0" xfId="0" applyFont="1" applyAlignment="1">
      <alignment wrapText="1"/>
    </xf>
    <xf numFmtId="0" fontId="77" fillId="0" borderId="0" xfId="0" applyFont="1" applyBorder="1" applyAlignment="1">
      <alignment wrapText="1"/>
    </xf>
    <xf numFmtId="0" fontId="77" fillId="0" borderId="0" xfId="0" applyFont="1" applyBorder="1" applyAlignment="1">
      <alignment horizontal="left" wrapText="1"/>
    </xf>
    <xf numFmtId="0" fontId="103" fillId="0" borderId="0" xfId="0" applyFont="1" applyAlignment="1">
      <alignment horizontal="center" wrapText="1"/>
    </xf>
    <xf numFmtId="0" fontId="104" fillId="0" borderId="1" xfId="0" applyFont="1" applyBorder="1" applyAlignment="1">
      <alignment wrapText="1"/>
    </xf>
    <xf numFmtId="0" fontId="104" fillId="7" borderId="4" xfId="0" applyFont="1" applyFill="1" applyBorder="1" applyAlignment="1">
      <alignment wrapText="1"/>
    </xf>
    <xf numFmtId="0" fontId="104" fillId="7" borderId="1" xfId="0" applyFont="1" applyFill="1" applyBorder="1" applyAlignment="1">
      <alignment horizontal="center" wrapText="1"/>
    </xf>
    <xf numFmtId="0" fontId="104" fillId="0" borderId="1" xfId="0" applyFont="1" applyBorder="1" applyAlignment="1">
      <alignment horizontal="center" wrapText="1"/>
    </xf>
    <xf numFmtId="2" fontId="106" fillId="0" borderId="0" xfId="0" applyNumberFormat="1" applyFont="1" applyBorder="1" applyAlignment="1">
      <alignment horizontal="left" wrapText="1"/>
    </xf>
    <xf numFmtId="0" fontId="107" fillId="16" borderId="1" xfId="0" applyFont="1" applyFill="1" applyBorder="1" applyAlignment="1">
      <alignment wrapText="1"/>
    </xf>
    <xf numFmtId="0" fontId="103" fillId="0" borderId="1" xfId="0" applyFont="1" applyFill="1" applyBorder="1" applyAlignment="1">
      <alignment horizontal="center" wrapText="1"/>
    </xf>
    <xf numFmtId="0" fontId="104" fillId="0" borderId="2" xfId="0" applyFont="1" applyFill="1" applyBorder="1" applyAlignment="1">
      <alignment horizontal="center" wrapText="1"/>
    </xf>
    <xf numFmtId="0" fontId="104" fillId="0" borderId="1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left" wrapText="1"/>
    </xf>
    <xf numFmtId="0" fontId="0" fillId="0" borderId="0" xfId="0" applyFill="1"/>
    <xf numFmtId="0" fontId="103" fillId="0" borderId="1" xfId="0" applyFont="1" applyBorder="1" applyAlignment="1">
      <alignment horizontal="center" wrapText="1"/>
    </xf>
    <xf numFmtId="166" fontId="103" fillId="0" borderId="1" xfId="0" applyNumberFormat="1" applyFont="1" applyBorder="1" applyAlignment="1">
      <alignment horizontal="center" wrapText="1"/>
    </xf>
    <xf numFmtId="0" fontId="103" fillId="7" borderId="1" xfId="0" applyFont="1" applyFill="1" applyBorder="1" applyAlignment="1">
      <alignment horizontal="center" wrapText="1"/>
    </xf>
    <xf numFmtId="0" fontId="107" fillId="5" borderId="1" xfId="0" applyFont="1" applyFill="1" applyBorder="1" applyAlignment="1">
      <alignment wrapText="1"/>
    </xf>
    <xf numFmtId="0" fontId="107" fillId="12" borderId="1" xfId="0" applyFont="1" applyFill="1" applyBorder="1" applyAlignment="1">
      <alignment wrapText="1"/>
    </xf>
    <xf numFmtId="0" fontId="107" fillId="49" borderId="1" xfId="0" applyFont="1" applyFill="1" applyBorder="1" applyAlignment="1">
      <alignment wrapText="1"/>
    </xf>
    <xf numFmtId="0" fontId="107" fillId="0" borderId="0" xfId="0" applyFont="1" applyBorder="1" applyAlignment="1">
      <alignment wrapText="1"/>
    </xf>
    <xf numFmtId="0" fontId="103" fillId="0" borderId="0" xfId="0" applyFont="1" applyBorder="1" applyAlignment="1">
      <alignment horizontal="center" wrapText="1"/>
    </xf>
    <xf numFmtId="0" fontId="103" fillId="0" borderId="0" xfId="0" applyFont="1" applyFill="1" applyBorder="1" applyAlignment="1">
      <alignment horizontal="center" wrapText="1"/>
    </xf>
    <xf numFmtId="0" fontId="107" fillId="0" borderId="1" xfId="0" applyFont="1" applyBorder="1" applyAlignment="1">
      <alignment wrapText="1"/>
    </xf>
    <xf numFmtId="0" fontId="109" fillId="0" borderId="5" xfId="0" applyFont="1" applyFill="1" applyBorder="1" applyAlignment="1">
      <alignment horizontal="center" wrapText="1"/>
    </xf>
    <xf numFmtId="0" fontId="77" fillId="0" borderId="1" xfId="0" applyFont="1" applyBorder="1" applyAlignment="1">
      <alignment horizontal="center" wrapText="1"/>
    </xf>
    <xf numFmtId="0" fontId="77" fillId="6" borderId="1" xfId="0" applyFont="1" applyFill="1" applyBorder="1" applyAlignment="1">
      <alignment horizontal="center" wrapText="1"/>
    </xf>
    <xf numFmtId="2" fontId="103" fillId="0" borderId="1" xfId="0" applyNumberFormat="1" applyFont="1" applyBorder="1" applyAlignment="1">
      <alignment horizontal="center" wrapText="1"/>
    </xf>
    <xf numFmtId="2" fontId="103" fillId="0" borderId="1" xfId="0" applyNumberFormat="1" applyFont="1" applyFill="1" applyBorder="1" applyAlignment="1">
      <alignment horizontal="center" wrapText="1"/>
    </xf>
    <xf numFmtId="0" fontId="110" fillId="0" borderId="0" xfId="0" applyFont="1" applyFill="1" applyBorder="1" applyAlignment="1">
      <alignment horizontal="left" wrapText="1"/>
    </xf>
    <xf numFmtId="0" fontId="77" fillId="7" borderId="1" xfId="0" applyFont="1" applyFill="1" applyBorder="1" applyAlignment="1">
      <alignment horizontal="center" wrapText="1"/>
    </xf>
    <xf numFmtId="0" fontId="77" fillId="7" borderId="1" xfId="0" applyFont="1" applyFill="1" applyBorder="1" applyAlignment="1">
      <alignment horizontal="left" wrapText="1"/>
    </xf>
    <xf numFmtId="0" fontId="111" fillId="0" borderId="1" xfId="0" applyFont="1" applyBorder="1"/>
    <xf numFmtId="2" fontId="112" fillId="7" borderId="1" xfId="0" applyNumberFormat="1" applyFont="1" applyFill="1" applyBorder="1" applyAlignment="1">
      <alignment horizontal="center" wrapText="1"/>
    </xf>
    <xf numFmtId="2" fontId="112" fillId="0" borderId="1" xfId="0" applyNumberFormat="1" applyFont="1" applyBorder="1" applyAlignment="1">
      <alignment horizontal="center" wrapText="1"/>
    </xf>
    <xf numFmtId="0" fontId="107" fillId="0" borderId="1" xfId="0" applyFont="1" applyBorder="1"/>
    <xf numFmtId="0" fontId="103" fillId="5" borderId="1" xfId="0" applyFont="1" applyFill="1" applyBorder="1" applyAlignment="1">
      <alignment horizontal="center" wrapText="1"/>
    </xf>
    <xf numFmtId="0" fontId="113" fillId="0" borderId="0" xfId="0" applyFont="1"/>
    <xf numFmtId="0" fontId="113" fillId="0" borderId="0" xfId="0" applyFont="1" applyFill="1"/>
    <xf numFmtId="0" fontId="25" fillId="0" borderId="0" xfId="0" applyFont="1" applyFill="1"/>
    <xf numFmtId="4" fontId="28" fillId="0" borderId="18" xfId="0" applyNumberFormat="1" applyFont="1" applyFill="1" applyBorder="1" applyAlignment="1">
      <alignment vertical="center" wrapText="1"/>
    </xf>
    <xf numFmtId="4" fontId="27" fillId="0" borderId="0" xfId="0" applyNumberFormat="1" applyFont="1" applyFill="1"/>
    <xf numFmtId="4" fontId="114" fillId="0" borderId="0" xfId="0" applyNumberFormat="1" applyFont="1" applyFill="1" applyAlignment="1">
      <alignment wrapText="1"/>
    </xf>
    <xf numFmtId="4" fontId="27" fillId="0" borderId="0" xfId="0" applyNumberFormat="1" applyFont="1" applyFill="1" applyBorder="1"/>
    <xf numFmtId="4" fontId="27" fillId="7" borderId="0" xfId="0" applyNumberFormat="1" applyFont="1" applyFill="1" applyBorder="1"/>
    <xf numFmtId="4" fontId="28" fillId="0" borderId="62" xfId="0" applyNumberFormat="1" applyFont="1" applyFill="1" applyBorder="1" applyAlignment="1">
      <alignment horizontal="center" vertical="center" wrapText="1"/>
    </xf>
    <xf numFmtId="4" fontId="36" fillId="7" borderId="0" xfId="0" applyNumberFormat="1" applyFont="1" applyFill="1" applyBorder="1"/>
    <xf numFmtId="4" fontId="36" fillId="0" borderId="0" xfId="0" applyNumberFormat="1" applyFont="1" applyFill="1" applyBorder="1"/>
    <xf numFmtId="4" fontId="28" fillId="0" borderId="63" xfId="0" applyNumberFormat="1" applyFont="1" applyFill="1" applyBorder="1" applyAlignment="1"/>
    <xf numFmtId="4" fontId="38" fillId="7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41" fillId="7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4" fontId="32" fillId="0" borderId="7" xfId="0" applyNumberFormat="1" applyFont="1" applyFill="1" applyBorder="1" applyAlignment="1">
      <alignment horizontal="center" vertical="center" wrapText="1"/>
    </xf>
    <xf numFmtId="4" fontId="32" fillId="5" borderId="5" xfId="0" applyNumberFormat="1" applyFont="1" applyFill="1" applyBorder="1" applyAlignment="1">
      <alignment horizontal="center" vertical="center" wrapText="1"/>
    </xf>
    <xf numFmtId="4" fontId="32" fillId="0" borderId="5" xfId="0" applyNumberFormat="1" applyFont="1" applyFill="1" applyBorder="1" applyAlignment="1">
      <alignment horizontal="center" vertical="center" wrapText="1"/>
    </xf>
    <xf numFmtId="4" fontId="40" fillId="0" borderId="66" xfId="0" applyNumberFormat="1" applyFont="1" applyFill="1" applyBorder="1" applyAlignment="1">
      <alignment horizontal="center" vertical="center" wrapText="1"/>
    </xf>
    <xf numFmtId="4" fontId="40" fillId="0" borderId="62" xfId="0" applyNumberFormat="1" applyFont="1" applyFill="1" applyBorder="1" applyAlignment="1">
      <alignment horizontal="center" vertical="center" wrapText="1"/>
    </xf>
    <xf numFmtId="4" fontId="40" fillId="0" borderId="67" xfId="0" applyNumberFormat="1" applyFont="1" applyFill="1" applyBorder="1" applyAlignment="1">
      <alignment horizontal="center" vertical="center" wrapText="1"/>
    </xf>
    <xf numFmtId="4" fontId="40" fillId="0" borderId="68" xfId="0" applyNumberFormat="1" applyFont="1" applyFill="1" applyBorder="1" applyAlignment="1">
      <alignment horizontal="center" vertical="center" wrapText="1"/>
    </xf>
    <xf numFmtId="4" fontId="40" fillId="5" borderId="46" xfId="0" applyNumberFormat="1" applyFont="1" applyFill="1" applyBorder="1" applyAlignment="1">
      <alignment horizontal="center" vertical="center" wrapText="1"/>
    </xf>
    <xf numFmtId="4" fontId="40" fillId="0" borderId="46" xfId="0" applyNumberFormat="1" applyFont="1" applyFill="1" applyBorder="1" applyAlignment="1">
      <alignment horizontal="center" vertical="center" wrapText="1"/>
    </xf>
    <xf numFmtId="4" fontId="40" fillId="17" borderId="46" xfId="0" applyNumberFormat="1" applyFont="1" applyFill="1" applyBorder="1" applyAlignment="1">
      <alignment horizontal="center" vertical="center" wrapText="1"/>
    </xf>
    <xf numFmtId="4" fontId="40" fillId="18" borderId="46" xfId="0" applyNumberFormat="1" applyFont="1" applyFill="1" applyBorder="1" applyAlignment="1">
      <alignment horizontal="center" vertical="center" wrapText="1"/>
    </xf>
    <xf numFmtId="4" fontId="40" fillId="16" borderId="46" xfId="0" applyNumberFormat="1" applyFont="1" applyFill="1" applyBorder="1" applyAlignment="1">
      <alignment horizontal="center" vertical="center" wrapText="1"/>
    </xf>
    <xf numFmtId="4" fontId="40" fillId="0" borderId="69" xfId="0" applyNumberFormat="1" applyFont="1" applyFill="1" applyBorder="1" applyAlignment="1">
      <alignment horizontal="center" vertical="center" wrapText="1"/>
    </xf>
    <xf numFmtId="4" fontId="40" fillId="0" borderId="25" xfId="0" applyNumberFormat="1" applyFont="1" applyFill="1" applyBorder="1" applyAlignment="1">
      <alignment horizontal="center" vertical="center" wrapText="1"/>
    </xf>
    <xf numFmtId="4" fontId="40" fillId="7" borderId="0" xfId="0" applyNumberFormat="1" applyFont="1" applyFill="1" applyBorder="1" applyAlignment="1">
      <alignment horizontal="center" vertical="center"/>
    </xf>
    <xf numFmtId="4" fontId="40" fillId="7" borderId="1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4" fontId="50" fillId="0" borderId="1" xfId="0" applyNumberFormat="1" applyFont="1" applyFill="1" applyBorder="1"/>
    <xf numFmtId="4" fontId="50" fillId="0" borderId="14" xfId="0" applyNumberFormat="1" applyFont="1" applyFill="1" applyBorder="1"/>
    <xf numFmtId="3" fontId="49" fillId="0" borderId="14" xfId="0" applyNumberFormat="1" applyFont="1" applyFill="1" applyBorder="1"/>
    <xf numFmtId="3" fontId="50" fillId="0" borderId="1" xfId="0" applyNumberFormat="1" applyFont="1" applyFill="1" applyBorder="1"/>
    <xf numFmtId="4" fontId="0" fillId="5" borderId="2" xfId="0" applyNumberFormat="1" applyFill="1" applyBorder="1"/>
    <xf numFmtId="169" fontId="110" fillId="0" borderId="2" xfId="0" applyNumberFormat="1" applyFont="1" applyBorder="1"/>
    <xf numFmtId="4" fontId="110" fillId="17" borderId="2" xfId="0" applyNumberFormat="1" applyFont="1" applyFill="1" applyBorder="1"/>
    <xf numFmtId="4" fontId="110" fillId="18" borderId="9" xfId="0" applyNumberFormat="1" applyFont="1" applyFill="1" applyBorder="1"/>
    <xf numFmtId="4" fontId="110" fillId="0" borderId="32" xfId="0" applyNumberFormat="1" applyFont="1" applyBorder="1"/>
    <xf numFmtId="4" fontId="20" fillId="0" borderId="12" xfId="0" applyNumberFormat="1" applyFont="1" applyBorder="1"/>
    <xf numFmtId="4" fontId="20" fillId="7" borderId="1" xfId="0" applyNumberFormat="1" applyFont="1" applyFill="1" applyBorder="1"/>
    <xf numFmtId="4" fontId="0" fillId="7" borderId="12" xfId="0" applyNumberFormat="1" applyFill="1" applyBorder="1"/>
    <xf numFmtId="4" fontId="0" fillId="7" borderId="1" xfId="0" applyNumberFormat="1" applyFill="1" applyBorder="1"/>
    <xf numFmtId="4" fontId="0" fillId="7" borderId="0" xfId="0" applyNumberFormat="1" applyFill="1"/>
    <xf numFmtId="4" fontId="0" fillId="7" borderId="5" xfId="0" applyNumberFormat="1" applyFill="1" applyBorder="1"/>
    <xf numFmtId="4" fontId="110" fillId="17" borderId="1" xfId="0" applyNumberFormat="1" applyFont="1" applyFill="1" applyBorder="1"/>
    <xf numFmtId="169" fontId="110" fillId="10" borderId="2" xfId="0" applyNumberFormat="1" applyFont="1" applyFill="1" applyBorder="1"/>
    <xf numFmtId="4" fontId="110" fillId="7" borderId="1" xfId="0" applyNumberFormat="1" applyFont="1" applyFill="1" applyBorder="1"/>
    <xf numFmtId="4" fontId="50" fillId="5" borderId="14" xfId="0" applyNumberFormat="1" applyFont="1" applyFill="1" applyBorder="1"/>
    <xf numFmtId="4" fontId="0" fillId="0" borderId="0" xfId="0" applyNumberFormat="1" applyFill="1"/>
    <xf numFmtId="169" fontId="110" fillId="7" borderId="1" xfId="0" applyNumberFormat="1" applyFont="1" applyFill="1" applyBorder="1"/>
    <xf numFmtId="169" fontId="110" fillId="0" borderId="1" xfId="0" applyNumberFormat="1" applyFont="1" applyFill="1" applyBorder="1"/>
    <xf numFmtId="4" fontId="110" fillId="10" borderId="1" xfId="0" applyNumberFormat="1" applyFont="1" applyFill="1" applyBorder="1"/>
    <xf numFmtId="4" fontId="110" fillId="5" borderId="1" xfId="0" applyNumberFormat="1" applyFont="1" applyFill="1" applyBorder="1"/>
    <xf numFmtId="169" fontId="110" fillId="10" borderId="1" xfId="0" applyNumberFormat="1" applyFont="1" applyFill="1" applyBorder="1"/>
    <xf numFmtId="4" fontId="50" fillId="0" borderId="1" xfId="0" applyNumberFormat="1" applyFont="1" applyFill="1" applyBorder="1" applyAlignment="1" applyProtection="1">
      <alignment horizontal="left"/>
    </xf>
    <xf numFmtId="3" fontId="50" fillId="0" borderId="1" xfId="0" applyNumberFormat="1" applyFont="1" applyFill="1" applyBorder="1" applyAlignment="1" applyProtection="1">
      <alignment horizontal="right"/>
    </xf>
    <xf numFmtId="170" fontId="110" fillId="0" borderId="1" xfId="0" applyNumberFormat="1" applyFont="1" applyFill="1" applyBorder="1"/>
    <xf numFmtId="3" fontId="50" fillId="7" borderId="1" xfId="0" applyNumberFormat="1" applyFont="1" applyFill="1" applyBorder="1"/>
    <xf numFmtId="170" fontId="110" fillId="7" borderId="1" xfId="0" applyNumberFormat="1" applyFont="1" applyFill="1" applyBorder="1"/>
    <xf numFmtId="4" fontId="19" fillId="0" borderId="35" xfId="0" applyNumberFormat="1" applyFont="1" applyFill="1" applyBorder="1" applyAlignment="1">
      <alignment horizontal="center"/>
    </xf>
    <xf numFmtId="4" fontId="0" fillId="5" borderId="5" xfId="0" applyNumberFormat="1" applyFill="1" applyBorder="1"/>
    <xf numFmtId="4" fontId="110" fillId="17" borderId="5" xfId="0" applyNumberFormat="1" applyFont="1" applyFill="1" applyBorder="1"/>
    <xf numFmtId="0" fontId="77" fillId="7" borderId="12" xfId="0" applyFont="1" applyFill="1" applyBorder="1"/>
    <xf numFmtId="4" fontId="77" fillId="7" borderId="1" xfId="0" applyNumberFormat="1" applyFont="1" applyFill="1" applyBorder="1"/>
    <xf numFmtId="4" fontId="77" fillId="0" borderId="1" xfId="0" applyNumberFormat="1" applyFont="1" applyBorder="1" applyAlignment="1">
      <alignment wrapText="1"/>
    </xf>
    <xf numFmtId="4" fontId="77" fillId="0" borderId="12" xfId="0" applyNumberFormat="1" applyFont="1" applyBorder="1" applyAlignment="1">
      <alignment wrapText="1"/>
    </xf>
    <xf numFmtId="4" fontId="77" fillId="5" borderId="1" xfId="0" applyNumberFormat="1" applyFont="1" applyFill="1" applyBorder="1"/>
    <xf numFmtId="4" fontId="77" fillId="0" borderId="12" xfId="0" applyNumberFormat="1" applyFont="1" applyBorder="1"/>
    <xf numFmtId="4" fontId="77" fillId="0" borderId="1" xfId="0" applyNumberFormat="1" applyFont="1" applyBorder="1"/>
    <xf numFmtId="4" fontId="113" fillId="0" borderId="0" xfId="0" applyNumberFormat="1" applyFont="1"/>
    <xf numFmtId="4" fontId="0" fillId="7" borderId="0" xfId="0" applyNumberFormat="1" applyFill="1" applyBorder="1"/>
    <xf numFmtId="4" fontId="25" fillId="7" borderId="0" xfId="0" applyNumberFormat="1" applyFont="1" applyFill="1" applyBorder="1"/>
    <xf numFmtId="4" fontId="110" fillId="7" borderId="0" xfId="0" applyNumberFormat="1" applyFont="1" applyFill="1" applyBorder="1"/>
    <xf numFmtId="4" fontId="77" fillId="7" borderId="0" xfId="0" applyNumberFormat="1" applyFont="1" applyFill="1" applyBorder="1"/>
    <xf numFmtId="4" fontId="113" fillId="7" borderId="0" xfId="0" applyNumberFormat="1" applyFont="1" applyFill="1" applyBorder="1"/>
    <xf numFmtId="170" fontId="0" fillId="7" borderId="0" xfId="0" applyNumberFormat="1" applyFill="1" applyBorder="1"/>
    <xf numFmtId="4" fontId="77" fillId="7" borderId="0" xfId="0" applyNumberFormat="1" applyFont="1" applyFill="1" applyBorder="1" applyAlignment="1">
      <alignment horizontal="right"/>
    </xf>
    <xf numFmtId="4" fontId="20" fillId="7" borderId="0" xfId="0" applyNumberFormat="1" applyFont="1" applyFill="1" applyBorder="1"/>
    <xf numFmtId="4" fontId="110" fillId="0" borderId="0" xfId="0" applyNumberFormat="1" applyFont="1" applyFill="1" applyBorder="1"/>
    <xf numFmtId="4" fontId="0" fillId="0" borderId="0" xfId="0" applyNumberFormat="1" applyFill="1" applyBorder="1"/>
    <xf numFmtId="4" fontId="77" fillId="11" borderId="0" xfId="0" applyNumberFormat="1" applyFont="1" applyFill="1"/>
    <xf numFmtId="0" fontId="0" fillId="0" borderId="6" xfId="0" applyBorder="1"/>
    <xf numFmtId="0" fontId="0" fillId="0" borderId="2" xfId="0" applyBorder="1"/>
    <xf numFmtId="0" fontId="0" fillId="7" borderId="3" xfId="0" applyFill="1" applyBorder="1"/>
    <xf numFmtId="4" fontId="19" fillId="42" borderId="12" xfId="0" applyNumberFormat="1" applyFont="1" applyFill="1" applyBorder="1" applyAlignment="1">
      <alignment horizontal="right"/>
    </xf>
    <xf numFmtId="1" fontId="56" fillId="13" borderId="1" xfId="0" applyNumberFormat="1" applyFont="1" applyFill="1" applyBorder="1" applyAlignment="1">
      <alignment horizontal="right"/>
    </xf>
    <xf numFmtId="4" fontId="40" fillId="50" borderId="1" xfId="0" applyNumberFormat="1" applyFont="1" applyFill="1" applyBorder="1"/>
    <xf numFmtId="4" fontId="49" fillId="0" borderId="31" xfId="0" applyNumberFormat="1" applyFont="1" applyFill="1" applyBorder="1" applyAlignment="1">
      <alignment wrapText="1"/>
    </xf>
    <xf numFmtId="1" fontId="44" fillId="0" borderId="31" xfId="0" applyNumberFormat="1" applyFont="1" applyFill="1" applyBorder="1"/>
    <xf numFmtId="4" fontId="44" fillId="0" borderId="12" xfId="0" applyNumberFormat="1" applyFont="1" applyFill="1" applyBorder="1"/>
    <xf numFmtId="166" fontId="44" fillId="12" borderId="1" xfId="0" applyNumberFormat="1" applyFont="1" applyFill="1" applyBorder="1"/>
    <xf numFmtId="4" fontId="85" fillId="0" borderId="1" xfId="0" applyNumberFormat="1" applyFont="1" applyFill="1" applyBorder="1"/>
    <xf numFmtId="1" fontId="28" fillId="5" borderId="1" xfId="0" applyNumberFormat="1" applyFont="1" applyFill="1" applyBorder="1" applyAlignment="1">
      <alignment horizontal="center" vertical="center"/>
    </xf>
    <xf numFmtId="2" fontId="56" fillId="5" borderId="1" xfId="0" applyNumberFormat="1" applyFont="1" applyFill="1" applyBorder="1" applyAlignment="1">
      <alignment horizontal="right"/>
    </xf>
    <xf numFmtId="171" fontId="28" fillId="6" borderId="0" xfId="0" applyNumberFormat="1" applyFont="1" applyFill="1"/>
    <xf numFmtId="4" fontId="40" fillId="0" borderId="1" xfId="0" applyNumberFormat="1" applyFont="1" applyFill="1" applyBorder="1" applyAlignment="1">
      <alignment horizontal="center" vertical="center" wrapText="1"/>
    </xf>
    <xf numFmtId="4" fontId="44" fillId="19" borderId="1" xfId="0" applyNumberFormat="1" applyFont="1" applyFill="1" applyBorder="1"/>
    <xf numFmtId="4" fontId="40" fillId="0" borderId="0" xfId="0" applyNumberFormat="1" applyFont="1" applyFill="1"/>
    <xf numFmtId="4" fontId="40" fillId="0" borderId="0" xfId="2" applyNumberFormat="1" applyFont="1" applyFill="1"/>
    <xf numFmtId="4" fontId="57" fillId="38" borderId="16" xfId="2" applyNumberFormat="1" applyFont="1" applyFill="1" applyBorder="1" applyAlignment="1">
      <alignment horizontal="center"/>
    </xf>
    <xf numFmtId="4" fontId="95" fillId="24" borderId="58" xfId="2" applyNumberFormat="1" applyFont="1" applyFill="1" applyBorder="1"/>
    <xf numFmtId="4" fontId="28" fillId="13" borderId="1" xfId="0" applyNumberFormat="1" applyFont="1" applyFill="1" applyBorder="1" applyAlignment="1">
      <alignment horizontal="right"/>
    </xf>
    <xf numFmtId="4" fontId="44" fillId="13" borderId="1" xfId="0" applyNumberFormat="1" applyFont="1" applyFill="1" applyBorder="1"/>
    <xf numFmtId="4" fontId="12" fillId="19" borderId="1" xfId="0" applyNumberFormat="1" applyFont="1" applyFill="1" applyBorder="1" applyAlignment="1">
      <alignment horizontal="right"/>
    </xf>
    <xf numFmtId="4" fontId="28" fillId="5" borderId="1" xfId="0" applyNumberFormat="1" applyFont="1" applyFill="1" applyBorder="1" applyAlignment="1">
      <alignment horizontal="right"/>
    </xf>
    <xf numFmtId="4" fontId="44" fillId="7" borderId="1" xfId="0" applyNumberFormat="1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right"/>
    </xf>
    <xf numFmtId="4" fontId="44" fillId="3" borderId="1" xfId="0" applyNumberFormat="1" applyFont="1" applyFill="1" applyBorder="1"/>
    <xf numFmtId="4" fontId="44" fillId="13" borderId="31" xfId="0" applyNumberFormat="1" applyFont="1" applyFill="1" applyBorder="1"/>
    <xf numFmtId="4" fontId="44" fillId="3" borderId="1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44" fillId="20" borderId="1" xfId="0" applyNumberFormat="1" applyFont="1" applyFill="1" applyBorder="1" applyAlignment="1">
      <alignment horizontal="right"/>
    </xf>
    <xf numFmtId="4" fontId="44" fillId="38" borderId="16" xfId="2" applyNumberFormat="1" applyFont="1" applyFill="1" applyBorder="1" applyAlignment="1">
      <alignment horizontal="right"/>
    </xf>
    <xf numFmtId="4" fontId="44" fillId="24" borderId="16" xfId="2" applyNumberFormat="1" applyFont="1" applyFill="1" applyBorder="1"/>
    <xf numFmtId="4" fontId="12" fillId="5" borderId="31" xfId="0" applyNumberFormat="1" applyFont="1" applyFill="1" applyBorder="1"/>
    <xf numFmtId="4" fontId="40" fillId="6" borderId="0" xfId="0" applyNumberFormat="1" applyFont="1" applyFill="1"/>
    <xf numFmtId="4" fontId="44" fillId="6" borderId="1" xfId="0" applyNumberFormat="1" applyFont="1" applyFill="1" applyBorder="1"/>
    <xf numFmtId="4" fontId="11" fillId="8" borderId="0" xfId="0" applyNumberFormat="1" applyFont="1" applyFill="1" applyAlignment="1">
      <alignment wrapText="1"/>
    </xf>
    <xf numFmtId="4" fontId="16" fillId="8" borderId="0" xfId="0" applyNumberFormat="1" applyFont="1" applyFill="1" applyAlignment="1">
      <alignment wrapText="1"/>
    </xf>
    <xf numFmtId="0" fontId="0" fillId="15" borderId="12" xfId="0" applyFill="1" applyBorder="1"/>
    <xf numFmtId="4" fontId="2" fillId="5" borderId="9" xfId="0" applyNumberFormat="1" applyFont="1" applyFill="1" applyBorder="1"/>
    <xf numFmtId="0" fontId="0" fillId="7" borderId="12" xfId="0" applyFill="1" applyBorder="1"/>
    <xf numFmtId="0" fontId="0" fillId="15" borderId="4" xfId="0" applyFill="1" applyBorder="1"/>
    <xf numFmtId="4" fontId="2" fillId="5" borderId="12" xfId="0" applyNumberFormat="1" applyFont="1" applyFill="1" applyBorder="1"/>
    <xf numFmtId="4" fontId="2" fillId="12" borderId="3" xfId="0" applyNumberFormat="1" applyFont="1" applyFill="1" applyBorder="1"/>
    <xf numFmtId="4" fontId="90" fillId="24" borderId="52" xfId="2" applyNumberFormat="1" applyFont="1" applyFill="1" applyBorder="1"/>
    <xf numFmtId="4" fontId="16" fillId="8" borderId="16" xfId="4" applyNumberFormat="1" applyFont="1" applyFill="1" applyBorder="1" applyAlignment="1">
      <alignment wrapText="1"/>
    </xf>
    <xf numFmtId="0" fontId="17" fillId="26" borderId="52" xfId="2" applyFill="1" applyBorder="1"/>
    <xf numFmtId="4" fontId="90" fillId="13" borderId="12" xfId="0" applyNumberFormat="1" applyFont="1" applyFill="1" applyBorder="1"/>
    <xf numFmtId="0" fontId="4" fillId="7" borderId="12" xfId="0" applyFont="1" applyFill="1" applyBorder="1"/>
    <xf numFmtId="4" fontId="2" fillId="48" borderId="12" xfId="0" applyNumberFormat="1" applyFont="1" applyFill="1" applyBorder="1"/>
    <xf numFmtId="0" fontId="17" fillId="26" borderId="1" xfId="2" applyFill="1" applyBorder="1"/>
    <xf numFmtId="0" fontId="4" fillId="7" borderId="1" xfId="0" applyFont="1" applyFill="1" applyBorder="1"/>
    <xf numFmtId="4" fontId="2" fillId="48" borderId="1" xfId="0" applyNumberFormat="1" applyFont="1" applyFill="1" applyBorder="1"/>
    <xf numFmtId="4" fontId="4" fillId="7" borderId="12" xfId="0" applyNumberFormat="1" applyFont="1" applyFill="1" applyBorder="1"/>
    <xf numFmtId="165" fontId="2" fillId="11" borderId="69" xfId="0" applyNumberFormat="1" applyFont="1" applyFill="1" applyBorder="1"/>
    <xf numFmtId="166" fontId="2" fillId="11" borderId="68" xfId="0" applyNumberFormat="1" applyFont="1" applyFill="1" applyBorder="1"/>
    <xf numFmtId="4" fontId="4" fillId="7" borderId="1" xfId="0" applyNumberFormat="1" applyFont="1" applyFill="1" applyBorder="1"/>
    <xf numFmtId="165" fontId="2" fillId="11" borderId="1" xfId="0" applyNumberFormat="1" applyFont="1" applyFill="1" applyBorder="1"/>
    <xf numFmtId="4" fontId="14" fillId="11" borderId="1" xfId="0" applyNumberFormat="1" applyFont="1" applyFill="1" applyBorder="1" applyAlignment="1">
      <alignment wrapText="1"/>
    </xf>
    <xf numFmtId="4" fontId="14" fillId="11" borderId="0" xfId="0" applyNumberFormat="1" applyFont="1" applyFill="1" applyAlignment="1">
      <alignment wrapText="1"/>
    </xf>
    <xf numFmtId="4" fontId="10" fillId="11" borderId="0" xfId="0" applyNumberFormat="1" applyFont="1" applyFill="1" applyAlignment="1">
      <alignment wrapText="1"/>
    </xf>
    <xf numFmtId="4" fontId="10" fillId="11" borderId="1" xfId="1" applyNumberFormat="1" applyFont="1" applyFill="1" applyBorder="1" applyAlignment="1">
      <alignment wrapText="1"/>
    </xf>
    <xf numFmtId="4" fontId="10" fillId="11" borderId="0" xfId="0" applyNumberFormat="1" applyFont="1" applyFill="1" applyBorder="1" applyAlignment="1">
      <alignment wrapText="1"/>
    </xf>
    <xf numFmtId="4" fontId="23" fillId="11" borderId="1" xfId="0" applyNumberFormat="1" applyFont="1" applyFill="1" applyBorder="1" applyAlignment="1">
      <alignment horizontal="center"/>
    </xf>
    <xf numFmtId="4" fontId="16" fillId="7" borderId="0" xfId="0" applyNumberFormat="1" applyFont="1" applyFill="1" applyAlignment="1">
      <alignment wrapText="1"/>
    </xf>
    <xf numFmtId="4" fontId="10" fillId="11" borderId="12" xfId="0" applyNumberFormat="1" applyFont="1" applyFill="1" applyBorder="1" applyAlignment="1">
      <alignment wrapText="1"/>
    </xf>
    <xf numFmtId="4" fontId="16" fillId="28" borderId="0" xfId="0" applyNumberFormat="1" applyFont="1" applyFill="1" applyBorder="1" applyAlignment="1">
      <alignment horizontal="center" wrapText="1"/>
    </xf>
    <xf numFmtId="4" fontId="11" fillId="12" borderId="0" xfId="0" applyNumberFormat="1" applyFont="1" applyFill="1" applyBorder="1" applyAlignment="1">
      <alignment horizontal="center" wrapText="1"/>
    </xf>
    <xf numFmtId="4" fontId="16" fillId="30" borderId="0" xfId="0" applyNumberFormat="1" applyFont="1" applyFill="1" applyBorder="1" applyAlignment="1">
      <alignment horizontal="center" wrapText="1"/>
    </xf>
    <xf numFmtId="4" fontId="119" fillId="0" borderId="1" xfId="0" applyNumberFormat="1" applyFont="1" applyBorder="1" applyAlignment="1">
      <alignment wrapText="1"/>
    </xf>
    <xf numFmtId="4" fontId="15" fillId="5" borderId="1" xfId="0" applyNumberFormat="1" applyFont="1" applyFill="1" applyBorder="1" applyAlignment="1">
      <alignment wrapText="1"/>
    </xf>
    <xf numFmtId="0" fontId="0" fillId="8" borderId="28" xfId="0" applyFill="1" applyBorder="1"/>
    <xf numFmtId="0" fontId="0" fillId="39" borderId="2" xfId="0" applyFill="1" applyBorder="1"/>
    <xf numFmtId="4" fontId="90" fillId="40" borderId="2" xfId="0" applyNumberFormat="1" applyFont="1" applyFill="1" applyBorder="1"/>
    <xf numFmtId="0" fontId="90" fillId="13" borderId="2" xfId="0" applyFont="1" applyFill="1" applyBorder="1"/>
    <xf numFmtId="0" fontId="78" fillId="0" borderId="9" xfId="0" applyFont="1" applyBorder="1"/>
    <xf numFmtId="0" fontId="0" fillId="39" borderId="10" xfId="0" applyFill="1" applyBorder="1"/>
    <xf numFmtId="4" fontId="90" fillId="39" borderId="2" xfId="0" applyNumberFormat="1" applyFont="1" applyFill="1" applyBorder="1"/>
    <xf numFmtId="0" fontId="90" fillId="39" borderId="2" xfId="0" applyFont="1" applyFill="1" applyBorder="1"/>
    <xf numFmtId="4" fontId="0" fillId="0" borderId="2" xfId="0" applyNumberFormat="1" applyBorder="1"/>
    <xf numFmtId="0" fontId="90" fillId="0" borderId="2" xfId="0" applyFont="1" applyBorder="1"/>
    <xf numFmtId="0" fontId="0" fillId="15" borderId="9" xfId="0" applyFill="1" applyBorder="1"/>
    <xf numFmtId="0" fontId="0" fillId="15" borderId="3" xfId="0" applyFill="1" applyBorder="1"/>
    <xf numFmtId="4" fontId="90" fillId="40" borderId="10" xfId="0" applyNumberFormat="1" applyFont="1" applyFill="1" applyBorder="1"/>
    <xf numFmtId="0" fontId="0" fillId="0" borderId="2" xfId="0" applyFill="1" applyBorder="1"/>
    <xf numFmtId="0" fontId="91" fillId="0" borderId="2" xfId="0" applyFont="1" applyFill="1" applyBorder="1"/>
    <xf numFmtId="0" fontId="0" fillId="0" borderId="9" xfId="0" applyBorder="1"/>
    <xf numFmtId="0" fontId="7" fillId="0" borderId="4" xfId="0" applyFont="1" applyBorder="1"/>
    <xf numFmtId="0" fontId="7" fillId="0" borderId="1" xfId="0" applyFont="1" applyBorder="1"/>
    <xf numFmtId="0" fontId="0" fillId="10" borderId="4" xfId="0" applyFill="1" applyBorder="1"/>
    <xf numFmtId="0" fontId="0" fillId="10" borderId="0" xfId="0" applyFill="1" applyBorder="1"/>
    <xf numFmtId="4" fontId="2" fillId="9" borderId="0" xfId="0" applyNumberFormat="1" applyFont="1" applyFill="1" applyBorder="1"/>
    <xf numFmtId="0" fontId="2" fillId="5" borderId="0" xfId="0" applyFont="1" applyFill="1" applyBorder="1"/>
    <xf numFmtId="0" fontId="78" fillId="0" borderId="0" xfId="0" applyFont="1" applyBorder="1"/>
    <xf numFmtId="0" fontId="0" fillId="22" borderId="0" xfId="0" applyFill="1" applyBorder="1"/>
    <xf numFmtId="4" fontId="2" fillId="22" borderId="0" xfId="0" applyNumberFormat="1" applyFont="1" applyFill="1" applyBorder="1"/>
    <xf numFmtId="4" fontId="2" fillId="10" borderId="0" xfId="0" applyNumberFormat="1" applyFont="1" applyFill="1" applyBorder="1"/>
    <xf numFmtId="0" fontId="2" fillId="10" borderId="0" xfId="0" applyFont="1" applyFill="1" applyBorder="1"/>
    <xf numFmtId="4" fontId="0" fillId="0" borderId="0" xfId="0" applyNumberFormat="1" applyBorder="1"/>
    <xf numFmtId="0" fontId="2" fillId="0" borderId="0" xfId="0" applyFont="1" applyBorder="1"/>
    <xf numFmtId="0" fontId="0" fillId="7" borderId="0" xfId="0" applyFill="1" applyBorder="1"/>
    <xf numFmtId="0" fontId="0" fillId="0" borderId="0" xfId="0" applyFill="1" applyBorder="1"/>
    <xf numFmtId="0" fontId="4" fillId="0" borderId="0" xfId="0" applyFont="1" applyFill="1" applyBorder="1"/>
    <xf numFmtId="0" fontId="17" fillId="33" borderId="0" xfId="2" applyFill="1" applyBorder="1"/>
    <xf numFmtId="4" fontId="90" fillId="34" borderId="0" xfId="2" applyNumberFormat="1" applyFont="1" applyFill="1" applyBorder="1"/>
    <xf numFmtId="0" fontId="90" fillId="24" borderId="0" xfId="2" applyFont="1" applyFill="1" applyBorder="1"/>
    <xf numFmtId="4" fontId="90" fillId="33" borderId="0" xfId="2" applyNumberFormat="1" applyFont="1" applyFill="1" applyBorder="1"/>
    <xf numFmtId="0" fontId="90" fillId="33" borderId="0" xfId="2" applyFont="1" applyFill="1" applyBorder="1"/>
    <xf numFmtId="4" fontId="17" fillId="0" borderId="0" xfId="2" applyNumberFormat="1" applyBorder="1"/>
    <xf numFmtId="0" fontId="90" fillId="0" borderId="0" xfId="2" applyFont="1" applyBorder="1"/>
    <xf numFmtId="0" fontId="17" fillId="26" borderId="0" xfId="2" applyFill="1" applyBorder="1"/>
    <xf numFmtId="0" fontId="17" fillId="0" borderId="0" xfId="2" applyFill="1" applyBorder="1"/>
    <xf numFmtId="0" fontId="91" fillId="0" borderId="0" xfId="2" applyFont="1" applyFill="1" applyBorder="1"/>
    <xf numFmtId="0" fontId="17" fillId="0" borderId="9" xfId="2" applyBorder="1"/>
    <xf numFmtId="0" fontId="0" fillId="39" borderId="4" xfId="0" applyFill="1" applyBorder="1"/>
    <xf numFmtId="0" fontId="90" fillId="13" borderId="0" xfId="0" applyFont="1" applyFill="1" applyBorder="1"/>
    <xf numFmtId="4" fontId="2" fillId="0" borderId="0" xfId="0" applyNumberFormat="1" applyFont="1" applyBorder="1"/>
    <xf numFmtId="4" fontId="2" fillId="5" borderId="0" xfId="0" applyNumberFormat="1" applyFont="1" applyFill="1" applyBorder="1"/>
    <xf numFmtId="4" fontId="4" fillId="0" borderId="0" xfId="0" applyNumberFormat="1" applyFont="1" applyFill="1" applyBorder="1"/>
    <xf numFmtId="0" fontId="77" fillId="0" borderId="0" xfId="2" applyFont="1" applyBorder="1"/>
    <xf numFmtId="0" fontId="0" fillId="10" borderId="6" xfId="0" applyFill="1" applyBorder="1"/>
    <xf numFmtId="4" fontId="2" fillId="9" borderId="6" xfId="0" applyNumberFormat="1" applyFont="1" applyFill="1" applyBorder="1"/>
    <xf numFmtId="0" fontId="2" fillId="5" borderId="6" xfId="0" applyFont="1" applyFill="1" applyBorder="1"/>
    <xf numFmtId="0" fontId="90" fillId="13" borderId="6" xfId="0" applyFont="1" applyFill="1" applyBorder="1"/>
    <xf numFmtId="0" fontId="78" fillId="0" borderId="6" xfId="0" applyFont="1" applyBorder="1"/>
    <xf numFmtId="4" fontId="2" fillId="10" borderId="6" xfId="0" applyNumberFormat="1" applyFont="1" applyFill="1" applyBorder="1"/>
    <xf numFmtId="0" fontId="2" fillId="10" borderId="6" xfId="0" applyFont="1" applyFill="1" applyBorder="1"/>
    <xf numFmtId="4" fontId="0" fillId="0" borderId="6" xfId="0" applyNumberFormat="1" applyBorder="1"/>
    <xf numFmtId="0" fontId="2" fillId="0" borderId="6" xfId="0" applyFont="1" applyBorder="1"/>
    <xf numFmtId="3" fontId="0" fillId="0" borderId="6" xfId="0" applyNumberFormat="1" applyBorder="1" applyAlignment="1">
      <alignment horizontal="center"/>
    </xf>
    <xf numFmtId="0" fontId="0" fillId="7" borderId="11" xfId="0" applyFill="1" applyBorder="1"/>
    <xf numFmtId="4" fontId="2" fillId="9" borderId="15" xfId="0" applyNumberFormat="1" applyFont="1" applyFill="1" applyBorder="1"/>
    <xf numFmtId="0" fontId="0" fillId="0" borderId="6" xfId="0" applyFill="1" applyBorder="1"/>
    <xf numFmtId="0" fontId="4" fillId="0" borderId="6" xfId="0" applyFont="1" applyFill="1" applyBorder="1"/>
    <xf numFmtId="0" fontId="0" fillId="7" borderId="6" xfId="0" applyFill="1" applyBorder="1"/>
    <xf numFmtId="4" fontId="0" fillId="5" borderId="0" xfId="0" applyNumberFormat="1" applyFill="1"/>
    <xf numFmtId="4" fontId="11" fillId="22" borderId="1" xfId="0" applyNumberFormat="1" applyFont="1" applyFill="1" applyBorder="1" applyAlignment="1">
      <alignment wrapText="1"/>
    </xf>
    <xf numFmtId="4" fontId="10" fillId="22" borderId="0" xfId="0" applyNumberFormat="1" applyFont="1" applyFill="1" applyAlignment="1">
      <alignment wrapText="1"/>
    </xf>
    <xf numFmtId="0" fontId="0" fillId="51" borderId="1" xfId="0" applyFill="1" applyBorder="1"/>
    <xf numFmtId="4" fontId="110" fillId="8" borderId="9" xfId="0" applyNumberFormat="1" applyFont="1" applyFill="1" applyBorder="1"/>
    <xf numFmtId="4" fontId="54" fillId="8" borderId="1" xfId="0" applyNumberFormat="1" applyFont="1" applyFill="1" applyBorder="1"/>
    <xf numFmtId="4" fontId="11" fillId="7" borderId="1" xfId="0" applyNumberFormat="1" applyFont="1" applyFill="1" applyBorder="1"/>
    <xf numFmtId="4" fontId="11" fillId="5" borderId="1" xfId="0" applyNumberFormat="1" applyFont="1" applyFill="1" applyBorder="1"/>
    <xf numFmtId="4" fontId="110" fillId="8" borderId="1" xfId="0" applyNumberFormat="1" applyFont="1" applyFill="1" applyBorder="1"/>
    <xf numFmtId="4" fontId="11" fillId="8" borderId="1" xfId="0" applyNumberFormat="1" applyFont="1" applyFill="1" applyBorder="1"/>
    <xf numFmtId="4" fontId="110" fillId="9" borderId="1" xfId="0" applyNumberFormat="1" applyFont="1" applyFill="1" applyBorder="1"/>
    <xf numFmtId="4" fontId="11" fillId="9" borderId="1" xfId="0" applyNumberFormat="1" applyFont="1" applyFill="1" applyBorder="1"/>
    <xf numFmtId="4" fontId="2" fillId="7" borderId="0" xfId="0" applyNumberFormat="1" applyFont="1" applyFill="1" applyBorder="1"/>
    <xf numFmtId="4" fontId="2" fillId="7" borderId="1" xfId="0" applyNumberFormat="1" applyFont="1" applyFill="1" applyBorder="1"/>
    <xf numFmtId="4" fontId="4" fillId="0" borderId="0" xfId="0" applyNumberFormat="1" applyFont="1" applyFill="1"/>
    <xf numFmtId="4" fontId="4" fillId="5" borderId="12" xfId="0" applyNumberFormat="1" applyFont="1" applyFill="1" applyBorder="1"/>
    <xf numFmtId="4" fontId="4" fillId="7" borderId="0" xfId="0" applyNumberFormat="1" applyFont="1" applyFill="1"/>
    <xf numFmtId="4" fontId="4" fillId="11" borderId="1" xfId="0" applyNumberFormat="1" applyFont="1" applyFill="1" applyBorder="1"/>
    <xf numFmtId="4" fontId="0" fillId="51" borderId="1" xfId="0" applyNumberFormat="1" applyFill="1" applyBorder="1"/>
    <xf numFmtId="4" fontId="14" fillId="5" borderId="1" xfId="0" applyNumberFormat="1" applyFont="1" applyFill="1" applyBorder="1" applyAlignment="1">
      <alignment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87" fillId="5" borderId="16" xfId="2" applyNumberFormat="1" applyFont="1" applyFill="1" applyBorder="1" applyAlignment="1">
      <alignment vertical="center" wrapText="1"/>
    </xf>
    <xf numFmtId="4" fontId="10" fillId="8" borderId="1" xfId="0" applyNumberFormat="1" applyFont="1" applyFill="1" applyBorder="1" applyAlignment="1">
      <alignment wrapText="1"/>
    </xf>
    <xf numFmtId="4" fontId="110" fillId="0" borderId="1" xfId="0" applyNumberFormat="1" applyFont="1" applyFill="1" applyBorder="1"/>
    <xf numFmtId="4" fontId="10" fillId="8" borderId="0" xfId="0" applyNumberFormat="1" applyFont="1" applyFill="1" applyAlignment="1">
      <alignment wrapText="1"/>
    </xf>
    <xf numFmtId="4" fontId="18" fillId="7" borderId="16" xfId="4" applyNumberFormat="1" applyFont="1" applyFill="1" applyBorder="1" applyAlignment="1">
      <alignment wrapText="1"/>
    </xf>
    <xf numFmtId="4" fontId="20" fillId="7" borderId="1" xfId="0" applyNumberFormat="1" applyFont="1" applyFill="1" applyBorder="1" applyAlignment="1">
      <alignment wrapText="1"/>
    </xf>
    <xf numFmtId="3" fontId="4" fillId="6" borderId="1" xfId="0" applyNumberFormat="1" applyFont="1" applyFill="1" applyBorder="1" applyAlignment="1">
      <alignment horizontal="center" wrapText="1"/>
    </xf>
    <xf numFmtId="4" fontId="115" fillId="0" borderId="70" xfId="0" applyNumberFormat="1" applyFont="1" applyFill="1" applyBorder="1" applyAlignment="1">
      <alignment wrapText="1"/>
    </xf>
    <xf numFmtId="4" fontId="115" fillId="12" borderId="11" xfId="0" applyNumberFormat="1" applyFont="1" applyFill="1" applyBorder="1" applyAlignment="1">
      <alignment wrapText="1"/>
    </xf>
    <xf numFmtId="4" fontId="77" fillId="0" borderId="27" xfId="0" applyNumberFormat="1" applyFont="1" applyBorder="1"/>
    <xf numFmtId="3" fontId="7" fillId="0" borderId="27" xfId="0" applyNumberFormat="1" applyFont="1" applyBorder="1"/>
    <xf numFmtId="3" fontId="77" fillId="0" borderId="27" xfId="0" applyNumberFormat="1" applyFont="1" applyBorder="1"/>
    <xf numFmtId="3" fontId="7" fillId="0" borderId="1" xfId="0" applyNumberFormat="1" applyFont="1" applyBorder="1"/>
    <xf numFmtId="4" fontId="77" fillId="12" borderId="27" xfId="0" applyNumberFormat="1" applyFont="1" applyFill="1" applyBorder="1"/>
    <xf numFmtId="4" fontId="77" fillId="5" borderId="21" xfId="0" applyNumberFormat="1" applyFont="1" applyFill="1" applyBorder="1"/>
    <xf numFmtId="4" fontId="77" fillId="12" borderId="21" xfId="0" applyNumberFormat="1" applyFont="1" applyFill="1" applyBorder="1"/>
    <xf numFmtId="4" fontId="77" fillId="17" borderId="21" xfId="0" applyNumberFormat="1" applyFont="1" applyFill="1" applyBorder="1"/>
    <xf numFmtId="4" fontId="77" fillId="0" borderId="21" xfId="0" applyNumberFormat="1" applyFont="1" applyBorder="1"/>
    <xf numFmtId="4" fontId="77" fillId="18" borderId="21" xfId="0" applyNumberFormat="1" applyFont="1" applyFill="1" applyBorder="1"/>
    <xf numFmtId="4" fontId="77" fillId="16" borderId="21" xfId="0" applyNumberFormat="1" applyFont="1" applyFill="1" applyBorder="1"/>
    <xf numFmtId="4" fontId="77" fillId="0" borderId="25" xfId="0" applyNumberFormat="1" applyFont="1" applyBorder="1"/>
    <xf numFmtId="4" fontId="77" fillId="12" borderId="62" xfId="0" applyNumberFormat="1" applyFont="1" applyFill="1" applyBorder="1" applyAlignment="1">
      <alignment horizontal="right"/>
    </xf>
    <xf numFmtId="4" fontId="4" fillId="0" borderId="0" xfId="0" applyNumberFormat="1" applyFont="1"/>
    <xf numFmtId="4" fontId="2" fillId="11" borderId="1" xfId="0" applyNumberFormat="1" applyFont="1" applyFill="1" applyBorder="1"/>
    <xf numFmtId="4" fontId="4" fillId="0" borderId="1" xfId="0" applyNumberFormat="1" applyFont="1" applyBorder="1"/>
    <xf numFmtId="4" fontId="4" fillId="0" borderId="4" xfId="0" applyNumberFormat="1" applyFont="1" applyBorder="1"/>
    <xf numFmtId="4" fontId="77" fillId="0" borderId="4" xfId="0" applyNumberFormat="1" applyFont="1" applyBorder="1"/>
    <xf numFmtId="4" fontId="77" fillId="12" borderId="1" xfId="0" applyNumberFormat="1" applyFont="1" applyFill="1" applyBorder="1"/>
    <xf numFmtId="4" fontId="4" fillId="7" borderId="4" xfId="0" applyNumberFormat="1" applyFont="1" applyFill="1" applyBorder="1"/>
    <xf numFmtId="4" fontId="77" fillId="5" borderId="0" xfId="0" applyNumberFormat="1" applyFont="1" applyFill="1"/>
    <xf numFmtId="4" fontId="110" fillId="48" borderId="1" xfId="0" applyNumberFormat="1" applyFont="1" applyFill="1" applyBorder="1"/>
    <xf numFmtId="0" fontId="7" fillId="7" borderId="11" xfId="0" applyFont="1" applyFill="1" applyBorder="1" applyAlignment="1">
      <alignment horizontal="center" wrapText="1"/>
    </xf>
    <xf numFmtId="0" fontId="78" fillId="7" borderId="2" xfId="0" applyFont="1" applyFill="1" applyBorder="1" applyAlignment="1">
      <alignment horizontal="center" wrapText="1"/>
    </xf>
    <xf numFmtId="4" fontId="78" fillId="7" borderId="1" xfId="0" applyNumberFormat="1" applyFont="1" applyFill="1" applyBorder="1"/>
    <xf numFmtId="166" fontId="44" fillId="31" borderId="1" xfId="0" applyNumberFormat="1" applyFont="1" applyFill="1" applyBorder="1"/>
    <xf numFmtId="165" fontId="2" fillId="5" borderId="1" xfId="0" applyNumberFormat="1" applyFont="1" applyFill="1" applyBorder="1"/>
    <xf numFmtId="4" fontId="2" fillId="0" borderId="4" xfId="0" applyNumberFormat="1" applyFont="1" applyBorder="1"/>
    <xf numFmtId="165" fontId="2" fillId="0" borderId="1" xfId="0" applyNumberFormat="1" applyFont="1" applyBorder="1"/>
    <xf numFmtId="0" fontId="0" fillId="31" borderId="0" xfId="0" applyFill="1"/>
    <xf numFmtId="49" fontId="0" fillId="31" borderId="1" xfId="0" applyNumberFormat="1" applyFill="1" applyBorder="1" applyAlignment="1">
      <alignment horizontal="center" vertical="center" wrapText="1" shrinkToFit="1"/>
    </xf>
    <xf numFmtId="2" fontId="3" fillId="31" borderId="1" xfId="0" applyNumberFormat="1" applyFont="1" applyFill="1" applyBorder="1" applyAlignment="1">
      <alignment horizontal="center" vertical="center" wrapText="1" shrinkToFit="1"/>
    </xf>
    <xf numFmtId="165" fontId="0" fillId="31" borderId="1" xfId="0" applyNumberFormat="1" applyFill="1" applyBorder="1"/>
    <xf numFmtId="165" fontId="17" fillId="53" borderId="16" xfId="2" applyNumberFormat="1" applyFill="1" applyBorder="1"/>
    <xf numFmtId="165" fontId="17" fillId="31" borderId="16" xfId="2" applyNumberFormat="1" applyFill="1" applyBorder="1"/>
    <xf numFmtId="165" fontId="78" fillId="5" borderId="1" xfId="0" applyNumberFormat="1" applyFont="1" applyFill="1" applyBorder="1"/>
    <xf numFmtId="165" fontId="78" fillId="0" borderId="0" xfId="0" applyNumberFormat="1" applyFont="1"/>
    <xf numFmtId="165" fontId="2" fillId="31" borderId="1" xfId="0" applyNumberFormat="1" applyFont="1" applyFill="1" applyBorder="1"/>
    <xf numFmtId="49" fontId="0" fillId="0" borderId="5" xfId="0" applyNumberFormat="1" applyBorder="1" applyAlignment="1">
      <alignment wrapText="1" shrinkToFit="1"/>
    </xf>
    <xf numFmtId="0" fontId="59" fillId="0" borderId="1" xfId="0" applyFont="1" applyFill="1" applyBorder="1"/>
    <xf numFmtId="0" fontId="59" fillId="0" borderId="1" xfId="0" applyFont="1" applyFill="1" applyBorder="1" applyAlignment="1">
      <alignment vertical="center"/>
    </xf>
    <xf numFmtId="0" fontId="59" fillId="56" borderId="1" xfId="0" applyFont="1" applyFill="1" applyBorder="1" applyAlignment="1">
      <alignment vertical="center"/>
    </xf>
    <xf numFmtId="0" fontId="59" fillId="11" borderId="1" xfId="0" applyFont="1" applyFill="1" applyBorder="1"/>
    <xf numFmtId="0" fontId="125" fillId="0" borderId="1" xfId="0" applyFont="1" applyFill="1" applyBorder="1"/>
    <xf numFmtId="0" fontId="125" fillId="0" borderId="1" xfId="0" applyFont="1" applyBorder="1"/>
    <xf numFmtId="4" fontId="59" fillId="0" borderId="1" xfId="0" applyNumberFormat="1" applyFont="1" applyFill="1" applyBorder="1"/>
    <xf numFmtId="1" fontId="57" fillId="0" borderId="1" xfId="0" applyNumberFormat="1" applyFont="1" applyFill="1" applyBorder="1"/>
    <xf numFmtId="1" fontId="57" fillId="52" borderId="1" xfId="0" applyNumberFormat="1" applyFont="1" applyFill="1" applyBorder="1"/>
    <xf numFmtId="1" fontId="57" fillId="8" borderId="1" xfId="0" applyNumberFormat="1" applyFont="1" applyFill="1" applyBorder="1"/>
    <xf numFmtId="165" fontId="7" fillId="0" borderId="1" xfId="0" applyNumberFormat="1" applyFont="1" applyBorder="1"/>
    <xf numFmtId="165" fontId="4" fillId="0" borderId="0" xfId="0" applyNumberFormat="1" applyFont="1"/>
    <xf numFmtId="165" fontId="0" fillId="0" borderId="0" xfId="0" applyNumberFormat="1" applyFill="1" applyBorder="1"/>
    <xf numFmtId="4" fontId="11" fillId="52" borderId="0" xfId="0" applyNumberFormat="1" applyFont="1" applyFill="1"/>
    <xf numFmtId="165" fontId="2" fillId="52" borderId="1" xfId="0" applyNumberFormat="1" applyFont="1" applyFill="1" applyBorder="1"/>
    <xf numFmtId="165" fontId="0" fillId="52" borderId="1" xfId="0" applyNumberFormat="1" applyFill="1" applyBorder="1"/>
    <xf numFmtId="165" fontId="2" fillId="52" borderId="0" xfId="0" applyNumberFormat="1" applyFont="1" applyFill="1" applyBorder="1"/>
    <xf numFmtId="49" fontId="0" fillId="52" borderId="1" xfId="0" applyNumberFormat="1" applyFill="1" applyBorder="1" applyAlignment="1">
      <alignment wrapText="1" shrinkToFit="1"/>
    </xf>
    <xf numFmtId="0" fontId="0" fillId="0" borderId="0" xfId="0" applyAlignment="1">
      <alignment horizontal="center"/>
    </xf>
    <xf numFmtId="0" fontId="128" fillId="5" borderId="0" xfId="0" applyFont="1" applyFill="1" applyAlignment="1">
      <alignment horizontal="center"/>
    </xf>
    <xf numFmtId="0" fontId="128" fillId="0" borderId="0" xfId="0" applyFont="1" applyAlignment="1">
      <alignment horizontal="center"/>
    </xf>
    <xf numFmtId="0" fontId="128" fillId="0" borderId="0" xfId="0" applyFont="1" applyAlignment="1"/>
    <xf numFmtId="0" fontId="126" fillId="5" borderId="3" xfId="0" applyFont="1" applyFill="1" applyBorder="1" applyAlignment="1">
      <alignment vertical="center"/>
    </xf>
    <xf numFmtId="0" fontId="126" fillId="17" borderId="3" xfId="0" applyFont="1" applyFill="1" applyBorder="1" applyAlignment="1">
      <alignment vertical="center"/>
    </xf>
    <xf numFmtId="0" fontId="126" fillId="17" borderId="4" xfId="0" applyFont="1" applyFill="1" applyBorder="1" applyAlignment="1">
      <alignment vertical="center"/>
    </xf>
    <xf numFmtId="0" fontId="85" fillId="31" borderId="5" xfId="0" applyFont="1" applyFill="1" applyBorder="1" applyAlignment="1">
      <alignment horizontal="center" vertical="center" wrapText="1"/>
    </xf>
    <xf numFmtId="0" fontId="126" fillId="0" borderId="0" xfId="0" applyFont="1" applyAlignment="1">
      <alignment vertical="center"/>
    </xf>
    <xf numFmtId="0" fontId="85" fillId="31" borderId="6" xfId="0" applyFont="1" applyFill="1" applyBorder="1" applyAlignment="1">
      <alignment horizontal="center" vertical="center" wrapText="1"/>
    </xf>
    <xf numFmtId="0" fontId="126" fillId="0" borderId="0" xfId="0" applyFont="1"/>
    <xf numFmtId="0" fontId="0" fillId="31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22" fillId="31" borderId="1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6" fillId="31" borderId="3" xfId="0" applyFont="1" applyFill="1" applyBorder="1" applyAlignment="1">
      <alignment horizontal="center" vertical="center"/>
    </xf>
    <xf numFmtId="0" fontId="129" fillId="7" borderId="1" xfId="0" applyFont="1" applyFill="1" applyBorder="1" applyAlignment="1">
      <alignment horizontal="center" vertical="center" wrapText="1"/>
    </xf>
    <xf numFmtId="0" fontId="123" fillId="31" borderId="12" xfId="0" applyFont="1" applyFill="1" applyBorder="1" applyAlignment="1">
      <alignment horizontal="center" vertical="center" wrapText="1"/>
    </xf>
    <xf numFmtId="0" fontId="46" fillId="31" borderId="3" xfId="0" applyFont="1" applyFill="1" applyBorder="1" applyAlignment="1">
      <alignment horizontal="center" vertical="center" wrapText="1"/>
    </xf>
    <xf numFmtId="0" fontId="129" fillId="5" borderId="3" xfId="0" applyFont="1" applyFill="1" applyBorder="1" applyAlignment="1">
      <alignment horizontal="center" vertical="center" wrapText="1"/>
    </xf>
    <xf numFmtId="0" fontId="44" fillId="31" borderId="3" xfId="0" applyFont="1" applyFill="1" applyBorder="1" applyAlignment="1">
      <alignment horizontal="center" vertical="center" wrapText="1"/>
    </xf>
    <xf numFmtId="0" fontId="130" fillId="31" borderId="5" xfId="0" applyFont="1" applyFill="1" applyBorder="1" applyAlignment="1">
      <alignment horizontal="center" vertical="center" wrapText="1"/>
    </xf>
    <xf numFmtId="0" fontId="127" fillId="31" borderId="5" xfId="0" applyFont="1" applyFill="1" applyBorder="1" applyAlignment="1">
      <alignment horizontal="center" vertical="center" wrapText="1"/>
    </xf>
    <xf numFmtId="0" fontId="129" fillId="0" borderId="0" xfId="0" applyFont="1" applyFill="1"/>
    <xf numFmtId="0" fontId="129" fillId="31" borderId="1" xfId="0" applyFont="1" applyFill="1" applyBorder="1" applyAlignment="1">
      <alignment horizontal="center" vertical="center" wrapText="1"/>
    </xf>
    <xf numFmtId="0" fontId="129" fillId="31" borderId="12" xfId="0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center" vertical="center" wrapText="1"/>
    </xf>
    <xf numFmtId="0" fontId="129" fillId="0" borderId="12" xfId="0" applyFont="1" applyFill="1" applyBorder="1" applyAlignment="1">
      <alignment horizontal="center" vertical="center" wrapText="1"/>
    </xf>
    <xf numFmtId="0" fontId="127" fillId="0" borderId="1" xfId="0" applyFont="1" applyFill="1" applyBorder="1" applyAlignment="1">
      <alignment horizontal="center" vertical="center" wrapText="1"/>
    </xf>
    <xf numFmtId="0" fontId="127" fillId="5" borderId="1" xfId="0" applyFont="1" applyFill="1" applyBorder="1" applyAlignment="1">
      <alignment horizontal="center" vertical="center" wrapText="1"/>
    </xf>
    <xf numFmtId="0" fontId="129" fillId="5" borderId="1" xfId="0" applyFont="1" applyFill="1" applyBorder="1" applyAlignment="1">
      <alignment horizontal="center" vertical="center" wrapText="1"/>
    </xf>
    <xf numFmtId="0" fontId="131" fillId="31" borderId="1" xfId="0" applyFont="1" applyFill="1" applyBorder="1" applyAlignment="1">
      <alignment horizontal="center" vertical="center" wrapText="1"/>
    </xf>
    <xf numFmtId="0" fontId="127" fillId="16" borderId="1" xfId="0" applyFont="1" applyFill="1" applyBorder="1" applyAlignment="1">
      <alignment horizontal="center" vertical="center" wrapText="1"/>
    </xf>
    <xf numFmtId="0" fontId="127" fillId="31" borderId="1" xfId="0" applyFont="1" applyFill="1" applyBorder="1" applyAlignment="1">
      <alignment horizontal="center" vertical="center" wrapText="1"/>
    </xf>
    <xf numFmtId="0" fontId="129" fillId="5" borderId="1" xfId="0" applyFont="1" applyFill="1" applyBorder="1" applyAlignment="1">
      <alignment vertical="center" wrapText="1"/>
    </xf>
    <xf numFmtId="0" fontId="129" fillId="5" borderId="4" xfId="0" applyFont="1" applyFill="1" applyBorder="1" applyAlignment="1">
      <alignment vertical="center" wrapText="1"/>
    </xf>
    <xf numFmtId="0" fontId="129" fillId="31" borderId="2" xfId="0" applyFont="1" applyFill="1" applyBorder="1" applyAlignment="1">
      <alignment horizontal="center" vertical="center" wrapText="1"/>
    </xf>
    <xf numFmtId="0" fontId="123" fillId="16" borderId="2" xfId="0" applyFont="1" applyFill="1" applyBorder="1" applyAlignment="1">
      <alignment horizontal="center" vertical="center" wrapText="1"/>
    </xf>
    <xf numFmtId="0" fontId="127" fillId="31" borderId="2" xfId="0" applyFont="1" applyFill="1" applyBorder="1" applyAlignment="1">
      <alignment horizontal="center" vertical="center" wrapText="1"/>
    </xf>
    <xf numFmtId="172" fontId="59" fillId="0" borderId="1" xfId="0" applyNumberFormat="1" applyFont="1" applyFill="1" applyBorder="1" applyAlignment="1" applyProtection="1">
      <alignment horizontal="left" wrapText="1"/>
    </xf>
    <xf numFmtId="166" fontId="59" fillId="0" borderId="1" xfId="0" applyNumberFormat="1" applyFont="1" applyFill="1" applyBorder="1"/>
    <xf numFmtId="165" fontId="132" fillId="31" borderId="16" xfId="2" applyNumberFormat="1" applyFont="1" applyFill="1" applyBorder="1"/>
    <xf numFmtId="166" fontId="133" fillId="53" borderId="52" xfId="2" applyNumberFormat="1" applyFont="1" applyFill="1" applyBorder="1"/>
    <xf numFmtId="166" fontId="133" fillId="0" borderId="1" xfId="2" applyNumberFormat="1" applyFont="1" applyFill="1" applyBorder="1"/>
    <xf numFmtId="166" fontId="133" fillId="53" borderId="1" xfId="2" applyNumberFormat="1" applyFont="1" applyFill="1" applyBorder="1"/>
    <xf numFmtId="166" fontId="59" fillId="5" borderId="1" xfId="0" applyNumberFormat="1" applyFont="1" applyFill="1" applyBorder="1"/>
    <xf numFmtId="0" fontId="59" fillId="5" borderId="1" xfId="0" applyFont="1" applyFill="1" applyBorder="1" applyAlignment="1">
      <alignment vertical="center"/>
    </xf>
    <xf numFmtId="165" fontId="59" fillId="7" borderId="1" xfId="0" applyNumberFormat="1" applyFont="1" applyFill="1" applyBorder="1" applyAlignment="1">
      <alignment vertical="center"/>
    </xf>
    <xf numFmtId="165" fontId="0" fillId="20" borderId="1" xfId="0" applyNumberFormat="1" applyFill="1" applyBorder="1"/>
    <xf numFmtId="165" fontId="121" fillId="31" borderId="1" xfId="7" applyNumberFormat="1" applyFont="1" applyFill="1" applyBorder="1" applyAlignment="1">
      <alignment horizontal="right" vertical="center"/>
    </xf>
    <xf numFmtId="165" fontId="119" fillId="31" borderId="1" xfId="7" applyNumberFormat="1" applyFont="1" applyFill="1" applyBorder="1" applyAlignment="1">
      <alignment horizontal="right" vertical="center"/>
    </xf>
    <xf numFmtId="165" fontId="110" fillId="31" borderId="1" xfId="7" applyNumberFormat="1" applyFont="1" applyFill="1" applyBorder="1" applyAlignment="1">
      <alignment horizontal="right" vertical="center"/>
    </xf>
    <xf numFmtId="0" fontId="4" fillId="20" borderId="1" xfId="0" applyFont="1" applyFill="1" applyBorder="1"/>
    <xf numFmtId="165" fontId="4" fillId="5" borderId="1" xfId="7" applyNumberFormat="1" applyFont="1" applyFill="1" applyBorder="1" applyAlignment="1">
      <alignment horizontal="right" vertical="center" wrapText="1"/>
    </xf>
    <xf numFmtId="165" fontId="122" fillId="31" borderId="1" xfId="0" applyNumberFormat="1" applyFont="1" applyFill="1" applyBorder="1"/>
    <xf numFmtId="166" fontId="134" fillId="31" borderId="1" xfId="0" applyNumberFormat="1" applyFont="1" applyFill="1" applyBorder="1"/>
    <xf numFmtId="166" fontId="59" fillId="31" borderId="1" xfId="0" applyNumberFormat="1" applyFont="1" applyFill="1" applyBorder="1"/>
    <xf numFmtId="0" fontId="59" fillId="31" borderId="1" xfId="0" applyFont="1" applyFill="1" applyBorder="1"/>
    <xf numFmtId="166" fontId="57" fillId="57" borderId="1" xfId="2" applyNumberFormat="1" applyFont="1" applyFill="1" applyBorder="1"/>
    <xf numFmtId="166" fontId="59" fillId="24" borderId="1" xfId="2" applyNumberFormat="1" applyFont="1" applyFill="1" applyBorder="1"/>
    <xf numFmtId="0" fontId="123" fillId="0" borderId="1" xfId="0" applyFont="1" applyFill="1" applyBorder="1"/>
    <xf numFmtId="0" fontId="124" fillId="0" borderId="1" xfId="0" applyFont="1" applyFill="1" applyBorder="1"/>
    <xf numFmtId="0" fontId="44" fillId="31" borderId="1" xfId="0" applyFont="1" applyFill="1" applyBorder="1"/>
    <xf numFmtId="0" fontId="59" fillId="0" borderId="0" xfId="0" applyFont="1" applyFill="1"/>
    <xf numFmtId="165" fontId="2" fillId="5" borderId="1" xfId="7" applyNumberFormat="1" applyFont="1" applyFill="1" applyBorder="1" applyAlignment="1">
      <alignment horizontal="right" vertical="center"/>
    </xf>
    <xf numFmtId="0" fontId="4" fillId="19" borderId="1" xfId="0" applyFont="1" applyFill="1" applyBorder="1"/>
    <xf numFmtId="0" fontId="59" fillId="31" borderId="1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166" fontId="59" fillId="57" borderId="1" xfId="2" applyNumberFormat="1" applyFont="1" applyFill="1" applyBorder="1"/>
    <xf numFmtId="172" fontId="59" fillId="56" borderId="1" xfId="0" applyNumberFormat="1" applyFont="1" applyFill="1" applyBorder="1" applyAlignment="1" applyProtection="1">
      <alignment horizontal="left" wrapText="1"/>
    </xf>
    <xf numFmtId="165" fontId="0" fillId="19" borderId="1" xfId="0" applyNumberFormat="1" applyFont="1" applyFill="1" applyBorder="1"/>
    <xf numFmtId="165" fontId="132" fillId="31" borderId="16" xfId="4" applyNumberFormat="1" applyFont="1" applyFill="1" applyBorder="1"/>
    <xf numFmtId="166" fontId="133" fillId="58" borderId="52" xfId="4" applyNumberFormat="1" applyFont="1" applyFill="1" applyBorder="1"/>
    <xf numFmtId="166" fontId="133" fillId="0" borderId="1" xfId="4" applyNumberFormat="1" applyFont="1" applyFill="1" applyBorder="1"/>
    <xf numFmtId="165" fontId="132" fillId="0" borderId="16" xfId="2" applyNumberFormat="1" applyFont="1" applyBorder="1"/>
    <xf numFmtId="0" fontId="91" fillId="59" borderId="1" xfId="2" applyFont="1" applyFill="1" applyBorder="1"/>
    <xf numFmtId="166" fontId="57" fillId="60" borderId="1" xfId="4" applyNumberFormat="1" applyFont="1" applyFill="1" applyBorder="1"/>
    <xf numFmtId="172" fontId="59" fillId="7" borderId="1" xfId="0" applyNumberFormat="1" applyFont="1" applyFill="1" applyBorder="1" applyAlignment="1" applyProtection="1">
      <alignment horizontal="left" wrapText="1"/>
    </xf>
    <xf numFmtId="0" fontId="91" fillId="3" borderId="1" xfId="0" applyFont="1" applyFill="1" applyBorder="1"/>
    <xf numFmtId="173" fontId="59" fillId="0" borderId="1" xfId="0" applyNumberFormat="1" applyFont="1" applyFill="1" applyBorder="1" applyAlignment="1" applyProtection="1">
      <alignment horizontal="left" wrapText="1"/>
    </xf>
    <xf numFmtId="0" fontId="131" fillId="0" borderId="1" xfId="0" applyFont="1" applyFill="1" applyBorder="1" applyAlignment="1">
      <alignment vertical="center"/>
    </xf>
    <xf numFmtId="165" fontId="0" fillId="19" borderId="1" xfId="0" applyNumberFormat="1" applyFont="1" applyFill="1" applyBorder="1" applyAlignment="1"/>
    <xf numFmtId="0" fontId="131" fillId="6" borderId="1" xfId="0" applyFont="1" applyFill="1" applyBorder="1" applyAlignment="1">
      <alignment vertical="center"/>
    </xf>
    <xf numFmtId="165" fontId="59" fillId="5" borderId="1" xfId="0" applyNumberFormat="1" applyFont="1" applyFill="1" applyBorder="1" applyAlignment="1">
      <alignment vertical="center"/>
    </xf>
    <xf numFmtId="165" fontId="0" fillId="31" borderId="1" xfId="0" applyNumberFormat="1" applyFont="1" applyFill="1" applyBorder="1" applyAlignment="1"/>
    <xf numFmtId="165" fontId="0" fillId="31" borderId="1" xfId="0" applyNumberFormat="1" applyFont="1" applyFill="1" applyBorder="1"/>
    <xf numFmtId="165" fontId="135" fillId="5" borderId="16" xfId="2" applyNumberFormat="1" applyFont="1" applyFill="1" applyBorder="1"/>
    <xf numFmtId="0" fontId="8" fillId="61" borderId="1" xfId="2" applyFont="1" applyFill="1" applyBorder="1"/>
    <xf numFmtId="165" fontId="0" fillId="54" borderId="1" xfId="0" applyNumberFormat="1" applyFill="1" applyBorder="1"/>
    <xf numFmtId="0" fontId="4" fillId="31" borderId="1" xfId="0" applyFont="1" applyFill="1" applyBorder="1"/>
    <xf numFmtId="165" fontId="132" fillId="31" borderId="16" xfId="2" applyNumberFormat="1" applyFont="1" applyFill="1" applyBorder="1" applyAlignment="1">
      <alignment horizontal="center" vertical="center"/>
    </xf>
    <xf numFmtId="166" fontId="133" fillId="53" borderId="52" xfId="2" applyNumberFormat="1" applyFont="1" applyFill="1" applyBorder="1" applyAlignment="1">
      <alignment horizontal="center" vertical="center"/>
    </xf>
    <xf numFmtId="166" fontId="133" fillId="0" borderId="1" xfId="2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4" fillId="31" borderId="1" xfId="0" applyFont="1" applyFill="1" applyBorder="1" applyAlignment="1">
      <alignment horizontal="center" vertical="center"/>
    </xf>
    <xf numFmtId="166" fontId="59" fillId="62" borderId="1" xfId="2" applyNumberFormat="1" applyFont="1" applyFill="1" applyBorder="1" applyAlignment="1">
      <alignment horizontal="center" vertical="center"/>
    </xf>
    <xf numFmtId="165" fontId="132" fillId="31" borderId="16" xfId="2" applyNumberFormat="1" applyFont="1" applyFill="1" applyBorder="1" applyAlignment="1">
      <alignment vertical="top"/>
    </xf>
    <xf numFmtId="166" fontId="133" fillId="53" borderId="52" xfId="2" applyNumberFormat="1" applyFont="1" applyFill="1" applyBorder="1" applyAlignment="1">
      <alignment vertical="top"/>
    </xf>
    <xf numFmtId="166" fontId="133" fillId="0" borderId="1" xfId="2" applyNumberFormat="1" applyFont="1" applyFill="1" applyBorder="1" applyAlignment="1">
      <alignment vertical="top"/>
    </xf>
    <xf numFmtId="165" fontId="132" fillId="0" borderId="16" xfId="2" applyNumberFormat="1" applyFont="1" applyBorder="1" applyAlignment="1">
      <alignment vertical="top"/>
    </xf>
    <xf numFmtId="0" fontId="91" fillId="59" borderId="1" xfId="2" applyFont="1" applyFill="1" applyBorder="1" applyAlignment="1">
      <alignment vertical="top"/>
    </xf>
    <xf numFmtId="166" fontId="59" fillId="24" borderId="1" xfId="2" applyNumberFormat="1" applyFont="1" applyFill="1" applyBorder="1" applyAlignment="1">
      <alignment vertical="top"/>
    </xf>
    <xf numFmtId="166" fontId="131" fillId="0" borderId="1" xfId="0" applyNumberFormat="1" applyFont="1" applyFill="1" applyBorder="1"/>
    <xf numFmtId="166" fontId="59" fillId="24" borderId="1" xfId="2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/>
    <xf numFmtId="165" fontId="0" fillId="5" borderId="1" xfId="0" applyNumberFormat="1" applyFont="1" applyFill="1" applyBorder="1"/>
    <xf numFmtId="172" fontId="125" fillId="0" borderId="1" xfId="0" applyNumberFormat="1" applyFont="1" applyFill="1" applyBorder="1" applyAlignment="1" applyProtection="1">
      <alignment horizontal="left" wrapText="1"/>
    </xf>
    <xf numFmtId="0" fontId="125" fillId="0" borderId="1" xfId="0" applyFont="1" applyFill="1" applyBorder="1" applyAlignment="1">
      <alignment vertical="center"/>
    </xf>
    <xf numFmtId="0" fontId="125" fillId="5" borderId="1" xfId="0" applyFont="1" applyFill="1" applyBorder="1" applyAlignment="1">
      <alignment vertical="center"/>
    </xf>
    <xf numFmtId="0" fontId="125" fillId="31" borderId="1" xfId="0" applyFont="1" applyFill="1" applyBorder="1" applyAlignment="1">
      <alignment vertical="center"/>
    </xf>
    <xf numFmtId="0" fontId="125" fillId="0" borderId="0" xfId="0" applyFont="1" applyFill="1" applyAlignment="1">
      <alignment vertical="center"/>
    </xf>
    <xf numFmtId="0" fontId="136" fillId="0" borderId="1" xfId="0" applyFont="1" applyFill="1" applyBorder="1" applyAlignment="1">
      <alignment vertical="center"/>
    </xf>
    <xf numFmtId="165" fontId="132" fillId="31" borderId="16" xfId="4" applyNumberFormat="1" applyFont="1" applyFill="1" applyBorder="1" applyAlignment="1">
      <alignment wrapText="1"/>
    </xf>
    <xf numFmtId="0" fontId="125" fillId="5" borderId="1" xfId="0" applyFont="1" applyFill="1" applyBorder="1"/>
    <xf numFmtId="165" fontId="132" fillId="59" borderId="1" xfId="2" applyNumberFormat="1" applyFont="1" applyFill="1" applyBorder="1" applyAlignment="1"/>
    <xf numFmtId="165" fontId="132" fillId="59" borderId="1" xfId="2" applyNumberFormat="1" applyFont="1" applyFill="1" applyBorder="1"/>
    <xf numFmtId="0" fontId="125" fillId="31" borderId="1" xfId="0" applyFont="1" applyFill="1" applyBorder="1"/>
    <xf numFmtId="0" fontId="131" fillId="0" borderId="1" xfId="0" applyFont="1" applyFill="1" applyBorder="1"/>
    <xf numFmtId="0" fontId="125" fillId="31" borderId="12" xfId="0" applyFont="1" applyFill="1" applyBorder="1"/>
    <xf numFmtId="166" fontId="125" fillId="0" borderId="1" xfId="0" applyNumberFormat="1" applyFont="1" applyFill="1" applyBorder="1"/>
    <xf numFmtId="166" fontId="59" fillId="5" borderId="1" xfId="2" applyNumberFormat="1" applyFont="1" applyFill="1" applyBorder="1"/>
    <xf numFmtId="0" fontId="125" fillId="0" borderId="0" xfId="0" applyFont="1" applyFill="1"/>
    <xf numFmtId="0" fontId="131" fillId="0" borderId="1" xfId="0" applyFont="1" applyBorder="1"/>
    <xf numFmtId="0" fontId="125" fillId="0" borderId="0" xfId="0" applyFont="1"/>
    <xf numFmtId="172" fontId="125" fillId="0" borderId="5" xfId="0" applyNumberFormat="1" applyFont="1" applyFill="1" applyBorder="1" applyAlignment="1" applyProtection="1">
      <alignment horizontal="left" wrapText="1"/>
    </xf>
    <xf numFmtId="166" fontId="125" fillId="5" borderId="1" xfId="0" applyNumberFormat="1" applyFont="1" applyFill="1" applyBorder="1"/>
    <xf numFmtId="166" fontId="125" fillId="31" borderId="1" xfId="0" applyNumberFormat="1" applyFont="1" applyFill="1" applyBorder="1"/>
    <xf numFmtId="2" fontId="64" fillId="63" borderId="0" xfId="0" applyNumberFormat="1" applyFont="1" applyFill="1"/>
    <xf numFmtId="0" fontId="57" fillId="5" borderId="46" xfId="0" applyFont="1" applyFill="1" applyBorder="1" applyAlignment="1">
      <alignment wrapText="1"/>
    </xf>
    <xf numFmtId="166" fontId="126" fillId="5" borderId="46" xfId="0" applyNumberFormat="1" applyFont="1" applyFill="1" applyBorder="1"/>
    <xf numFmtId="165" fontId="126" fillId="6" borderId="46" xfId="0" applyNumberFormat="1" applyFont="1" applyFill="1" applyBorder="1"/>
    <xf numFmtId="165" fontId="126" fillId="5" borderId="46" xfId="0" applyNumberFormat="1" applyFont="1" applyFill="1" applyBorder="1"/>
    <xf numFmtId="166" fontId="134" fillId="5" borderId="46" xfId="0" applyNumberFormat="1" applyFont="1" applyFill="1" applyBorder="1"/>
    <xf numFmtId="165" fontId="126" fillId="16" borderId="46" xfId="0" applyNumberFormat="1" applyFont="1" applyFill="1" applyBorder="1"/>
    <xf numFmtId="166" fontId="126" fillId="5" borderId="65" xfId="0" applyNumberFormat="1" applyFont="1" applyFill="1" applyBorder="1"/>
    <xf numFmtId="165" fontId="2" fillId="5" borderId="1" xfId="7" applyNumberFormat="1" applyFont="1" applyFill="1" applyBorder="1" applyAlignment="1">
      <alignment horizontal="right" vertical="center" wrapText="1"/>
    </xf>
    <xf numFmtId="165" fontId="122" fillId="31" borderId="6" xfId="0" applyNumberFormat="1" applyFont="1" applyFill="1" applyBorder="1"/>
    <xf numFmtId="166" fontId="126" fillId="16" borderId="65" xfId="0" applyNumberFormat="1" applyFont="1" applyFill="1" applyBorder="1"/>
    <xf numFmtId="166" fontId="126" fillId="6" borderId="65" xfId="0" applyNumberFormat="1" applyFont="1" applyFill="1" applyBorder="1"/>
    <xf numFmtId="166" fontId="126" fillId="6" borderId="46" xfId="0" applyNumberFormat="1" applyFont="1" applyFill="1" applyBorder="1"/>
    <xf numFmtId="166" fontId="131" fillId="5" borderId="1" xfId="0" applyNumberFormat="1" applyFont="1" applyFill="1" applyBorder="1"/>
    <xf numFmtId="0" fontId="124" fillId="5" borderId="1" xfId="0" applyFont="1" applyFill="1" applyBorder="1"/>
    <xf numFmtId="166" fontId="126" fillId="6" borderId="6" xfId="0" applyNumberFormat="1" applyFont="1" applyFill="1" applyBorder="1"/>
    <xf numFmtId="166" fontId="126" fillId="5" borderId="0" xfId="0" applyNumberFormat="1" applyFont="1" applyFill="1"/>
    <xf numFmtId="0" fontId="126" fillId="5" borderId="0" xfId="0" applyFont="1" applyFill="1"/>
    <xf numFmtId="166" fontId="0" fillId="0" borderId="0" xfId="0" applyNumberFormat="1"/>
    <xf numFmtId="167" fontId="133" fillId="53" borderId="6" xfId="2" applyNumberFormat="1" applyFont="1" applyFill="1" applyBorder="1"/>
    <xf numFmtId="166" fontId="134" fillId="5" borderId="0" xfId="0" applyNumberFormat="1" applyFont="1" applyFill="1"/>
    <xf numFmtId="0" fontId="134" fillId="5" borderId="0" xfId="0" applyFont="1" applyFill="1"/>
    <xf numFmtId="4" fontId="12" fillId="5" borderId="0" xfId="0" applyNumberFormat="1" applyFont="1" applyFill="1"/>
    <xf numFmtId="166" fontId="64" fillId="0" borderId="0" xfId="0" applyNumberFormat="1" applyFont="1"/>
    <xf numFmtId="166" fontId="12" fillId="0" borderId="0" xfId="0" applyNumberFormat="1" applyFont="1"/>
    <xf numFmtId="0" fontId="124" fillId="0" borderId="6" xfId="0" applyFont="1" applyFill="1" applyBorder="1"/>
    <xf numFmtId="166" fontId="64" fillId="5" borderId="1" xfId="0" applyNumberFormat="1" applyFont="1" applyFill="1" applyBorder="1"/>
    <xf numFmtId="166" fontId="126" fillId="5" borderId="1" xfId="0" applyNumberFormat="1" applyFont="1" applyFill="1" applyBorder="1"/>
    <xf numFmtId="0" fontId="12" fillId="0" borderId="0" xfId="0" applyFont="1"/>
    <xf numFmtId="0" fontId="124" fillId="0" borderId="0" xfId="0" applyFont="1" applyFill="1" applyBorder="1"/>
    <xf numFmtId="166" fontId="64" fillId="5" borderId="0" xfId="0" applyNumberFormat="1" applyFont="1" applyFill="1" applyBorder="1"/>
    <xf numFmtId="166" fontId="126" fillId="5" borderId="0" xfId="0" applyNumberFormat="1" applyFont="1" applyFill="1" applyBorder="1"/>
    <xf numFmtId="0" fontId="129" fillId="0" borderId="0" xfId="0" applyFont="1"/>
    <xf numFmtId="0" fontId="129" fillId="5" borderId="0" xfId="0" applyFont="1" applyFill="1"/>
    <xf numFmtId="0" fontId="129" fillId="7" borderId="0" xfId="0" applyFont="1" applyFill="1"/>
    <xf numFmtId="166" fontId="129" fillId="5" borderId="0" xfId="0" applyNumberFormat="1" applyFont="1" applyFill="1"/>
    <xf numFmtId="165" fontId="129" fillId="5" borderId="0" xfId="0" applyNumberFormat="1" applyFont="1" applyFill="1"/>
    <xf numFmtId="166" fontId="129" fillId="0" borderId="0" xfId="0" applyNumberFormat="1" applyFont="1"/>
    <xf numFmtId="0" fontId="85" fillId="31" borderId="2" xfId="0" applyFont="1" applyFill="1" applyBorder="1" applyAlignment="1">
      <alignment horizontal="center" vertical="center" wrapText="1"/>
    </xf>
    <xf numFmtId="0" fontId="37" fillId="31" borderId="6" xfId="0" applyFont="1" applyFill="1" applyBorder="1" applyAlignment="1">
      <alignment horizontal="center" vertical="center" wrapText="1"/>
    </xf>
    <xf numFmtId="166" fontId="85" fillId="31" borderId="1" xfId="0" applyNumberFormat="1" applyFont="1" applyFill="1" applyBorder="1" applyAlignment="1">
      <alignment vertical="center" wrapText="1"/>
    </xf>
    <xf numFmtId="0" fontId="129" fillId="0" borderId="1" xfId="0" applyFont="1" applyBorder="1"/>
    <xf numFmtId="0" fontId="85" fillId="0" borderId="6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166" fontId="126" fillId="0" borderId="6" xfId="0" applyNumberFormat="1" applyFont="1" applyFill="1" applyBorder="1"/>
    <xf numFmtId="4" fontId="57" fillId="0" borderId="1" xfId="0" applyNumberFormat="1" applyFont="1" applyFill="1" applyBorder="1"/>
    <xf numFmtId="4" fontId="115" fillId="7" borderId="1" xfId="0" applyNumberFormat="1" applyFont="1" applyFill="1" applyBorder="1" applyAlignment="1">
      <alignment horizontal="center" vertical="center"/>
    </xf>
    <xf numFmtId="4" fontId="126" fillId="6" borderId="6" xfId="0" applyNumberFormat="1" applyFont="1" applyFill="1" applyBorder="1"/>
    <xf numFmtId="4" fontId="126" fillId="6" borderId="1" xfId="0" applyNumberFormat="1" applyFont="1" applyFill="1" applyBorder="1"/>
    <xf numFmtId="4" fontId="126" fillId="5" borderId="1" xfId="0" applyNumberFormat="1" applyFont="1" applyFill="1" applyBorder="1"/>
    <xf numFmtId="4" fontId="126" fillId="5" borderId="0" xfId="0" applyNumberFormat="1" applyFont="1" applyFill="1" applyBorder="1"/>
    <xf numFmtId="4" fontId="129" fillId="0" borderId="0" xfId="0" applyNumberFormat="1" applyFont="1"/>
    <xf numFmtId="0" fontId="2" fillId="52" borderId="0" xfId="0" applyFont="1" applyFill="1"/>
    <xf numFmtId="4" fontId="115" fillId="19" borderId="1" xfId="0" applyNumberFormat="1" applyFont="1" applyFill="1" applyBorder="1" applyAlignment="1">
      <alignment horizontal="center" vertical="center"/>
    </xf>
    <xf numFmtId="4" fontId="57" fillId="9" borderId="1" xfId="0" applyNumberFormat="1" applyFont="1" applyFill="1" applyBorder="1"/>
    <xf numFmtId="4" fontId="126" fillId="9" borderId="1" xfId="0" applyNumberFormat="1" applyFont="1" applyFill="1" applyBorder="1"/>
    <xf numFmtId="4" fontId="59" fillId="0" borderId="0" xfId="0" applyNumberFormat="1" applyFont="1" applyFill="1"/>
    <xf numFmtId="4" fontId="59" fillId="5" borderId="1" xfId="0" applyNumberFormat="1" applyFont="1" applyFill="1" applyBorder="1"/>
    <xf numFmtId="172" fontId="59" fillId="5" borderId="1" xfId="0" applyNumberFormat="1" applyFont="1" applyFill="1" applyBorder="1" applyAlignment="1" applyProtection="1">
      <alignment horizontal="left" wrapText="1"/>
    </xf>
    <xf numFmtId="173" fontId="59" fillId="5" borderId="1" xfId="0" applyNumberFormat="1" applyFont="1" applyFill="1" applyBorder="1" applyAlignment="1" applyProtection="1">
      <alignment horizontal="left" wrapText="1"/>
    </xf>
    <xf numFmtId="172" fontId="125" fillId="5" borderId="1" xfId="0" applyNumberFormat="1" applyFont="1" applyFill="1" applyBorder="1" applyAlignment="1" applyProtection="1">
      <alignment horizontal="left" wrapText="1"/>
    </xf>
    <xf numFmtId="4" fontId="125" fillId="0" borderId="0" xfId="0" applyNumberFormat="1" applyFont="1"/>
    <xf numFmtId="4" fontId="59" fillId="5" borderId="0" xfId="0" applyNumberFormat="1" applyFont="1" applyFill="1"/>
    <xf numFmtId="4" fontId="44" fillId="8" borderId="1" xfId="0" applyNumberFormat="1" applyFont="1" applyFill="1" applyBorder="1"/>
    <xf numFmtId="4" fontId="44" fillId="8" borderId="0" xfId="0" applyNumberFormat="1" applyFont="1" applyFill="1" applyBorder="1"/>
    <xf numFmtId="4" fontId="126" fillId="55" borderId="0" xfId="0" applyNumberFormat="1" applyFont="1" applyFill="1" applyBorder="1"/>
    <xf numFmtId="0" fontId="39" fillId="0" borderId="1" xfId="0" applyFont="1" applyFill="1" applyBorder="1" applyAlignment="1">
      <alignment horizontal="center" vertical="center" wrapText="1"/>
    </xf>
    <xf numFmtId="0" fontId="138" fillId="0" borderId="12" xfId="0" applyFont="1" applyFill="1" applyBorder="1" applyAlignment="1">
      <alignment horizontal="center" vertical="center" wrapText="1"/>
    </xf>
    <xf numFmtId="0" fontId="115" fillId="0" borderId="1" xfId="0" applyFont="1" applyFill="1" applyBorder="1" applyAlignment="1">
      <alignment horizontal="left" vertical="center" wrapText="1"/>
    </xf>
    <xf numFmtId="0" fontId="13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 applyProtection="1">
      <alignment wrapText="1"/>
      <protection locked="0"/>
    </xf>
    <xf numFmtId="0" fontId="139" fillId="0" borderId="0" xfId="0" applyFont="1" applyAlignment="1">
      <alignment wrapText="1"/>
    </xf>
    <xf numFmtId="0" fontId="0" fillId="0" borderId="0" xfId="0" applyAlignment="1">
      <alignment wrapText="1"/>
    </xf>
    <xf numFmtId="4" fontId="28" fillId="0" borderId="8" xfId="0" applyNumberFormat="1" applyFont="1" applyFill="1" applyBorder="1" applyAlignment="1">
      <alignment horizontal="center" vertical="center" wrapText="1"/>
    </xf>
    <xf numFmtId="49" fontId="44" fillId="0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40" fillId="0" borderId="0" xfId="0" applyFont="1" applyFill="1" applyBorder="1" applyAlignment="1"/>
    <xf numFmtId="0" fontId="29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vertical="center" wrapText="1"/>
    </xf>
    <xf numFmtId="0" fontId="139" fillId="0" borderId="0" xfId="0" applyFont="1" applyAlignment="1">
      <alignment wrapText="1"/>
    </xf>
    <xf numFmtId="0" fontId="139" fillId="0" borderId="0" xfId="0" applyFont="1" applyFill="1"/>
    <xf numFmtId="0" fontId="0" fillId="0" borderId="0" xfId="0" applyAlignment="1">
      <alignment wrapText="1"/>
    </xf>
    <xf numFmtId="0" fontId="120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4" fontId="19" fillId="0" borderId="1" xfId="0" applyNumberFormat="1" applyFont="1" applyFill="1" applyBorder="1" applyAlignment="1" applyProtection="1">
      <alignment horizontal="center"/>
      <protection locked="0"/>
    </xf>
    <xf numFmtId="166" fontId="28" fillId="0" borderId="0" xfId="0" applyNumberFormat="1" applyFont="1" applyFill="1" applyBorder="1" applyAlignment="1">
      <alignment horizontal="center" vertical="center" wrapText="1"/>
    </xf>
    <xf numFmtId="0" fontId="140" fillId="0" borderId="43" xfId="0" applyFont="1" applyBorder="1" applyAlignment="1">
      <alignment horizontal="center" vertical="center" textRotation="90"/>
    </xf>
    <xf numFmtId="174" fontId="24" fillId="0" borderId="44" xfId="0" applyNumberFormat="1" applyFont="1" applyBorder="1" applyAlignment="1">
      <alignment horizontal="center"/>
    </xf>
    <xf numFmtId="49" fontId="44" fillId="0" borderId="72" xfId="0" applyNumberFormat="1" applyFont="1" applyFill="1" applyBorder="1" applyAlignment="1">
      <alignment horizontal="center" vertical="center"/>
    </xf>
    <xf numFmtId="0" fontId="115" fillId="0" borderId="31" xfId="0" applyFont="1" applyFill="1" applyBorder="1" applyAlignment="1">
      <alignment horizontal="left" vertical="center" wrapText="1"/>
    </xf>
    <xf numFmtId="174" fontId="19" fillId="0" borderId="31" xfId="0" applyNumberFormat="1" applyFont="1" applyFill="1" applyBorder="1" applyAlignment="1">
      <alignment horizontal="center"/>
    </xf>
    <xf numFmtId="174" fontId="24" fillId="0" borderId="73" xfId="0" applyNumberFormat="1" applyFont="1" applyBorder="1" applyAlignment="1">
      <alignment horizontal="center"/>
    </xf>
    <xf numFmtId="49" fontId="0" fillId="0" borderId="5" xfId="0" applyNumberFormat="1" applyFill="1" applyBorder="1" applyAlignment="1">
      <alignment horizontal="center" vertical="center" wrapText="1" shrinkToFit="1"/>
    </xf>
    <xf numFmtId="49" fontId="0" fillId="0" borderId="2" xfId="0" applyNumberFormat="1" applyFill="1" applyBorder="1" applyAlignment="1">
      <alignment horizontal="center" vertical="center" wrapText="1" shrinkToFit="1"/>
    </xf>
    <xf numFmtId="0" fontId="103" fillId="0" borderId="0" xfId="0" applyFont="1" applyAlignment="1">
      <alignment horizontal="center" wrapText="1"/>
    </xf>
    <xf numFmtId="0" fontId="104" fillId="0" borderId="1" xfId="0" applyFont="1" applyBorder="1" applyAlignment="1">
      <alignment horizontal="center" wrapText="1"/>
    </xf>
    <xf numFmtId="0" fontId="103" fillId="0" borderId="1" xfId="0" applyFont="1" applyBorder="1" applyAlignment="1">
      <alignment horizontal="center" wrapText="1"/>
    </xf>
    <xf numFmtId="0" fontId="77" fillId="0" borderId="1" xfId="0" applyFont="1" applyBorder="1" applyAlignment="1">
      <alignment horizontal="center" wrapText="1"/>
    </xf>
    <xf numFmtId="0" fontId="77" fillId="6" borderId="12" xfId="0" applyFont="1" applyFill="1" applyBorder="1" applyAlignment="1">
      <alignment horizontal="center" wrapText="1"/>
    </xf>
    <xf numFmtId="0" fontId="77" fillId="6" borderId="3" xfId="0" applyFont="1" applyFill="1" applyBorder="1" applyAlignment="1">
      <alignment horizontal="center" wrapText="1"/>
    </xf>
    <xf numFmtId="0" fontId="77" fillId="6" borderId="4" xfId="0" applyFont="1" applyFill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4" fontId="28" fillId="0" borderId="18" xfId="0" applyNumberFormat="1" applyFont="1" applyFill="1" applyBorder="1" applyAlignment="1">
      <alignment horizontal="center" vertical="center" wrapText="1"/>
    </xf>
    <xf numFmtId="4" fontId="29" fillId="0" borderId="37" xfId="0" applyNumberFormat="1" applyFont="1" applyFill="1" applyBorder="1" applyAlignment="1">
      <alignment horizontal="center" vertical="center" wrapText="1"/>
    </xf>
    <xf numFmtId="4" fontId="29" fillId="0" borderId="32" xfId="0" applyNumberFormat="1" applyFont="1" applyFill="1" applyBorder="1" applyAlignment="1"/>
    <xf numFmtId="4" fontId="29" fillId="0" borderId="34" xfId="0" applyNumberFormat="1" applyFont="1" applyFill="1" applyBorder="1" applyAlignment="1"/>
    <xf numFmtId="4" fontId="19" fillId="0" borderId="61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/>
    <xf numFmtId="4" fontId="19" fillId="0" borderId="64" xfId="0" applyNumberFormat="1" applyFont="1" applyFill="1" applyBorder="1" applyAlignment="1"/>
    <xf numFmtId="4" fontId="28" fillId="0" borderId="62" xfId="0" applyNumberFormat="1" applyFont="1" applyFill="1" applyBorder="1" applyAlignment="1">
      <alignment horizontal="center" vertical="center" wrapText="1"/>
    </xf>
    <xf numFmtId="4" fontId="28" fillId="0" borderId="63" xfId="0" applyNumberFormat="1" applyFont="1" applyFill="1" applyBorder="1" applyAlignment="1">
      <alignment horizontal="center" vertical="center" wrapText="1"/>
    </xf>
    <xf numFmtId="4" fontId="28" fillId="5" borderId="62" xfId="0" applyNumberFormat="1" applyFont="1" applyFill="1" applyBorder="1" applyAlignment="1">
      <alignment horizontal="center" vertical="center" wrapText="1"/>
    </xf>
    <xf numFmtId="4" fontId="28" fillId="5" borderId="63" xfId="0" applyNumberFormat="1" applyFont="1" applyFill="1" applyBorder="1" applyAlignment="1">
      <alignment horizontal="center" vertical="center" wrapText="1"/>
    </xf>
    <xf numFmtId="4" fontId="28" fillId="17" borderId="23" xfId="0" applyNumberFormat="1" applyFont="1" applyFill="1" applyBorder="1" applyAlignment="1">
      <alignment horizontal="left" vertical="center"/>
    </xf>
    <xf numFmtId="4" fontId="28" fillId="17" borderId="24" xfId="0" applyNumberFormat="1" applyFont="1" applyFill="1" applyBorder="1" applyAlignment="1">
      <alignment horizontal="left" vertical="center"/>
    </xf>
    <xf numFmtId="4" fontId="33" fillId="18" borderId="20" xfId="0" applyNumberFormat="1" applyFont="1" applyFill="1" applyBorder="1" applyAlignment="1">
      <alignment horizontal="center" vertical="center" wrapText="1"/>
    </xf>
    <xf numFmtId="4" fontId="33" fillId="18" borderId="1" xfId="0" applyNumberFormat="1" applyFont="1" applyFill="1" applyBorder="1" applyAlignment="1">
      <alignment horizontal="center"/>
    </xf>
    <xf numFmtId="4" fontId="33" fillId="18" borderId="5" xfId="0" applyNumberFormat="1" applyFont="1" applyFill="1" applyBorder="1" applyAlignment="1">
      <alignment horizontal="center"/>
    </xf>
    <xf numFmtId="4" fontId="39" fillId="0" borderId="1" xfId="0" applyNumberFormat="1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center" vertical="center"/>
    </xf>
    <xf numFmtId="4" fontId="115" fillId="17" borderId="5" xfId="0" applyNumberFormat="1" applyFont="1" applyFill="1" applyBorder="1" applyAlignment="1">
      <alignment horizontal="center" vertical="center" wrapText="1"/>
    </xf>
    <xf numFmtId="4" fontId="115" fillId="17" borderId="6" xfId="0" applyNumberFormat="1" applyFont="1" applyFill="1" applyBorder="1" applyAlignment="1">
      <alignment horizontal="center" vertical="center" wrapText="1"/>
    </xf>
    <xf numFmtId="4" fontId="86" fillId="7" borderId="5" xfId="0" applyNumberFormat="1" applyFont="1" applyFill="1" applyBorder="1" applyAlignment="1">
      <alignment horizontal="center" wrapText="1"/>
    </xf>
    <xf numFmtId="4" fontId="86" fillId="7" borderId="6" xfId="0" applyNumberFormat="1" applyFont="1" applyFill="1" applyBorder="1" applyAlignment="1">
      <alignment horizontal="center" wrapText="1"/>
    </xf>
    <xf numFmtId="4" fontId="86" fillId="7" borderId="2" xfId="0" applyNumberFormat="1" applyFont="1" applyFill="1" applyBorder="1" applyAlignment="1">
      <alignment horizontal="center" wrapText="1"/>
    </xf>
    <xf numFmtId="4" fontId="33" fillId="11" borderId="21" xfId="0" applyNumberFormat="1" applyFont="1" applyFill="1" applyBorder="1" applyAlignment="1">
      <alignment horizontal="center" vertical="center" wrapText="1"/>
    </xf>
    <xf numFmtId="4" fontId="33" fillId="11" borderId="6" xfId="0" applyNumberFormat="1" applyFont="1" applyFill="1" applyBorder="1" applyAlignment="1">
      <alignment horizontal="center" vertical="center" wrapText="1"/>
    </xf>
    <xf numFmtId="4" fontId="28" fillId="5" borderId="22" xfId="0" applyNumberFormat="1" applyFont="1" applyFill="1" applyBorder="1" applyAlignment="1">
      <alignment horizontal="left" vertical="center" wrapText="1"/>
    </xf>
    <xf numFmtId="4" fontId="28" fillId="5" borderId="23" xfId="0" applyNumberFormat="1" applyFont="1" applyFill="1" applyBorder="1" applyAlignment="1">
      <alignment horizontal="left"/>
    </xf>
    <xf numFmtId="4" fontId="28" fillId="5" borderId="24" xfId="0" applyNumberFormat="1" applyFont="1" applyFill="1" applyBorder="1" applyAlignment="1">
      <alignment horizontal="left"/>
    </xf>
    <xf numFmtId="4" fontId="28" fillId="12" borderId="25" xfId="0" applyNumberFormat="1" applyFont="1" applyFill="1" applyBorder="1" applyAlignment="1">
      <alignment horizontal="center" vertical="center" wrapText="1"/>
    </xf>
    <xf numFmtId="4" fontId="28" fillId="12" borderId="26" xfId="0" applyNumberFormat="1" applyFont="1" applyFill="1" applyBorder="1" applyAlignment="1">
      <alignment horizontal="center" vertical="center" wrapText="1"/>
    </xf>
    <xf numFmtId="4" fontId="28" fillId="12" borderId="27" xfId="0" applyNumberFormat="1" applyFont="1" applyFill="1" applyBorder="1" applyAlignment="1">
      <alignment horizontal="center" vertical="center" wrapText="1"/>
    </xf>
    <xf numFmtId="4" fontId="28" fillId="12" borderId="9" xfId="0" applyNumberFormat="1" applyFont="1" applyFill="1" applyBorder="1" applyAlignment="1">
      <alignment horizontal="center" vertical="center" wrapText="1"/>
    </xf>
    <xf numFmtId="4" fontId="28" fillId="12" borderId="14" xfId="0" applyNumberFormat="1" applyFont="1" applyFill="1" applyBorder="1" applyAlignment="1">
      <alignment horizontal="center" vertical="center" wrapText="1"/>
    </xf>
    <xf numFmtId="4" fontId="28" fillId="12" borderId="10" xfId="0" applyNumberFormat="1" applyFont="1" applyFill="1" applyBorder="1" applyAlignment="1">
      <alignment horizontal="center" vertical="center" wrapText="1"/>
    </xf>
    <xf numFmtId="4" fontId="28" fillId="6" borderId="25" xfId="0" applyNumberFormat="1" applyFont="1" applyFill="1" applyBorder="1" applyAlignment="1">
      <alignment horizontal="center" vertical="center" wrapText="1"/>
    </xf>
    <xf numFmtId="4" fontId="28" fillId="6" borderId="26" xfId="0" applyNumberFormat="1" applyFont="1" applyFill="1" applyBorder="1" applyAlignment="1">
      <alignment horizontal="center" wrapText="1"/>
    </xf>
    <xf numFmtId="4" fontId="28" fillId="6" borderId="27" xfId="0" applyNumberFormat="1" applyFont="1" applyFill="1" applyBorder="1" applyAlignment="1">
      <alignment horizontal="center" wrapText="1"/>
    </xf>
    <xf numFmtId="4" fontId="28" fillId="6" borderId="9" xfId="0" applyNumberFormat="1" applyFont="1" applyFill="1" applyBorder="1" applyAlignment="1">
      <alignment horizontal="center" wrapText="1"/>
    </xf>
    <xf numFmtId="4" fontId="28" fillId="6" borderId="14" xfId="0" applyNumberFormat="1" applyFont="1" applyFill="1" applyBorder="1" applyAlignment="1">
      <alignment horizontal="center" wrapText="1"/>
    </xf>
    <xf numFmtId="4" fontId="28" fillId="6" borderId="10" xfId="0" applyNumberFormat="1" applyFont="1" applyFill="1" applyBorder="1" applyAlignment="1">
      <alignment horizontal="center" wrapText="1"/>
    </xf>
    <xf numFmtId="4" fontId="44" fillId="5" borderId="21" xfId="0" applyNumberFormat="1" applyFont="1" applyFill="1" applyBorder="1" applyAlignment="1">
      <alignment horizontal="center" vertical="center" wrapText="1"/>
    </xf>
    <xf numFmtId="4" fontId="44" fillId="5" borderId="6" xfId="0" applyNumberFormat="1" applyFont="1" applyFill="1" applyBorder="1" applyAlignment="1">
      <alignment horizontal="center" vertical="center" wrapText="1"/>
    </xf>
    <xf numFmtId="4" fontId="115" fillId="6" borderId="21" xfId="0" applyNumberFormat="1" applyFont="1" applyFill="1" applyBorder="1" applyAlignment="1">
      <alignment horizontal="center" vertical="center" wrapText="1"/>
    </xf>
    <xf numFmtId="4" fontId="115" fillId="6" borderId="6" xfId="0" applyNumberFormat="1" applyFont="1" applyFill="1" applyBorder="1"/>
    <xf numFmtId="4" fontId="37" fillId="0" borderId="12" xfId="0" applyNumberFormat="1" applyFont="1" applyFill="1" applyBorder="1" applyAlignment="1">
      <alignment horizontal="center" vertical="center" wrapText="1"/>
    </xf>
    <xf numFmtId="4" fontId="37" fillId="0" borderId="3" xfId="0" applyNumberFormat="1" applyFont="1" applyFill="1" applyBorder="1" applyAlignment="1">
      <alignment horizontal="center" vertical="center" wrapText="1"/>
    </xf>
    <xf numFmtId="4" fontId="33" fillId="18" borderId="5" xfId="0" applyNumberFormat="1" applyFont="1" applyFill="1" applyBorder="1" applyAlignment="1">
      <alignment horizontal="center" vertical="center" wrapText="1"/>
    </xf>
    <xf numFmtId="4" fontId="33" fillId="18" borderId="6" xfId="0" applyNumberFormat="1" applyFont="1" applyFill="1" applyBorder="1" applyAlignment="1">
      <alignment horizontal="center"/>
    </xf>
    <xf numFmtId="4" fontId="40" fillId="18" borderId="5" xfId="0" applyNumberFormat="1" applyFont="1" applyFill="1" applyBorder="1" applyAlignment="1">
      <alignment horizontal="center" vertical="center" wrapText="1"/>
    </xf>
    <xf numFmtId="4" fontId="40" fillId="18" borderId="6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" fontId="37" fillId="0" borderId="9" xfId="0" applyNumberFormat="1" applyFont="1" applyFill="1" applyBorder="1" applyAlignment="1">
      <alignment horizontal="center" vertical="center" wrapText="1"/>
    </xf>
    <xf numFmtId="4" fontId="37" fillId="0" borderId="4" xfId="0" applyNumberFormat="1" applyFont="1" applyFill="1" applyBorder="1" applyAlignment="1">
      <alignment horizontal="center" vertical="center" wrapText="1"/>
    </xf>
    <xf numFmtId="4" fontId="115" fillId="18" borderId="25" xfId="0" applyNumberFormat="1" applyFont="1" applyFill="1" applyBorder="1" applyAlignment="1">
      <alignment horizontal="center" vertical="center" wrapText="1"/>
    </xf>
    <xf numFmtId="4" fontId="115" fillId="18" borderId="11" xfId="0" applyNumberFormat="1" applyFont="1" applyFill="1" applyBorder="1" applyAlignment="1">
      <alignment horizontal="center"/>
    </xf>
    <xf numFmtId="4" fontId="115" fillId="0" borderId="37" xfId="0" applyNumberFormat="1" applyFont="1" applyFill="1" applyBorder="1" applyAlignment="1">
      <alignment horizontal="center" vertical="center" wrapText="1"/>
    </xf>
    <xf numFmtId="4" fontId="115" fillId="0" borderId="32" xfId="0" applyNumberFormat="1" applyFont="1" applyFill="1" applyBorder="1" applyAlignment="1">
      <alignment horizontal="center"/>
    </xf>
    <xf numFmtId="4" fontId="115" fillId="0" borderId="34" xfId="0" applyNumberFormat="1" applyFont="1" applyFill="1" applyBorder="1" applyAlignment="1">
      <alignment horizontal="center"/>
    </xf>
    <xf numFmtId="4" fontId="44" fillId="5" borderId="5" xfId="0" applyNumberFormat="1" applyFont="1" applyFill="1" applyBorder="1" applyAlignment="1">
      <alignment horizontal="center" wrapText="1"/>
    </xf>
    <xf numFmtId="4" fontId="44" fillId="5" borderId="6" xfId="0" applyNumberFormat="1" applyFont="1" applyFill="1" applyBorder="1" applyAlignment="1">
      <alignment horizontal="center" wrapText="1"/>
    </xf>
    <xf numFmtId="4" fontId="44" fillId="5" borderId="65" xfId="0" applyNumberFormat="1" applyFont="1" applyFill="1" applyBorder="1" applyAlignment="1">
      <alignment horizontal="center" wrapText="1"/>
    </xf>
    <xf numFmtId="4" fontId="118" fillId="0" borderId="1" xfId="0" applyNumberFormat="1" applyFont="1" applyFill="1" applyBorder="1" applyAlignment="1">
      <alignment horizontal="center"/>
    </xf>
    <xf numFmtId="4" fontId="39" fillId="0" borderId="4" xfId="0" applyNumberFormat="1" applyFont="1" applyFill="1" applyBorder="1" applyAlignment="1">
      <alignment horizontal="center" vertical="center"/>
    </xf>
    <xf numFmtId="4" fontId="47" fillId="17" borderId="5" xfId="0" applyNumberFormat="1" applyFont="1" applyFill="1" applyBorder="1" applyAlignment="1">
      <alignment horizontal="center" vertical="center" wrapText="1"/>
    </xf>
    <xf numFmtId="4" fontId="47" fillId="17" borderId="6" xfId="0" applyNumberFormat="1" applyFont="1" applyFill="1" applyBorder="1" applyAlignment="1">
      <alignment horizontal="center" vertical="center" wrapText="1"/>
    </xf>
    <xf numFmtId="4" fontId="32" fillId="17" borderId="5" xfId="0" applyNumberFormat="1" applyFont="1" applyFill="1" applyBorder="1" applyAlignment="1">
      <alignment horizontal="center" vertical="center" wrapText="1"/>
    </xf>
    <xf numFmtId="4" fontId="32" fillId="17" borderId="6" xfId="0" applyNumberFormat="1" applyFont="1" applyFill="1" applyBorder="1" applyAlignment="1">
      <alignment horizontal="center" vertical="center" wrapText="1"/>
    </xf>
    <xf numFmtId="4" fontId="29" fillId="17" borderId="5" xfId="0" applyNumberFormat="1" applyFont="1" applyFill="1" applyBorder="1" applyAlignment="1">
      <alignment horizontal="center" vertical="center" wrapText="1"/>
    </xf>
    <xf numFmtId="4" fontId="29" fillId="17" borderId="6" xfId="0" applyNumberFormat="1" applyFont="1" applyFill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4" xfId="0" applyNumberFormat="1" applyFont="1" applyFill="1" applyBorder="1" applyAlignment="1">
      <alignment horizontal="center" vertical="center" wrapText="1"/>
    </xf>
    <xf numFmtId="4" fontId="33" fillId="17" borderId="5" xfId="0" applyNumberFormat="1" applyFont="1" applyFill="1" applyBorder="1" applyAlignment="1">
      <alignment horizontal="center" vertical="center" wrapText="1"/>
    </xf>
    <xf numFmtId="4" fontId="33" fillId="17" borderId="6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/>
    <xf numFmtId="0" fontId="28" fillId="0" borderId="2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/>
    <xf numFmtId="0" fontId="28" fillId="0" borderId="21" xfId="0" applyFont="1" applyFill="1" applyBorder="1" applyAlignment="1">
      <alignment horizontal="center" vertical="center" textRotation="89" wrapText="1"/>
    </xf>
    <xf numFmtId="0" fontId="28" fillId="0" borderId="6" xfId="0" applyFont="1" applyFill="1" applyBorder="1" applyAlignment="1">
      <alignment horizontal="center" vertical="center" textRotation="89" wrapText="1"/>
    </xf>
    <xf numFmtId="0" fontId="28" fillId="0" borderId="2" xfId="0" applyFont="1" applyFill="1" applyBorder="1" applyAlignment="1">
      <alignment horizontal="center" vertical="center" textRotation="89" wrapText="1"/>
    </xf>
    <xf numFmtId="166" fontId="28" fillId="0" borderId="22" xfId="0" applyNumberFormat="1" applyFont="1" applyFill="1" applyBorder="1" applyAlignment="1">
      <alignment horizontal="left" vertical="center"/>
    </xf>
    <xf numFmtId="0" fontId="0" fillId="0" borderId="23" xfId="0" applyBorder="1"/>
    <xf numFmtId="0" fontId="0" fillId="0" borderId="24" xfId="0" applyBorder="1"/>
    <xf numFmtId="4" fontId="32" fillId="0" borderId="20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2" fillId="6" borderId="21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wrapText="1"/>
    </xf>
    <xf numFmtId="0" fontId="28" fillId="0" borderId="27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28" fillId="22" borderId="21" xfId="0" applyFont="1" applyFill="1" applyBorder="1" applyAlignment="1">
      <alignment horizontal="center" vertical="center" wrapText="1"/>
    </xf>
    <xf numFmtId="0" fontId="28" fillId="22" borderId="6" xfId="0" applyFont="1" applyFill="1" applyBorder="1" applyAlignment="1">
      <alignment horizontal="center" vertical="center" wrapText="1"/>
    </xf>
    <xf numFmtId="0" fontId="28" fillId="22" borderId="2" xfId="0" applyFont="1" applyFill="1" applyBorder="1" applyAlignment="1">
      <alignment horizontal="center" vertical="center" wrapText="1"/>
    </xf>
    <xf numFmtId="4" fontId="44" fillId="16" borderId="21" xfId="0" applyNumberFormat="1" applyFont="1" applyFill="1" applyBorder="1" applyAlignment="1">
      <alignment horizontal="center" vertical="center" wrapText="1"/>
    </xf>
    <xf numFmtId="4" fontId="44" fillId="16" borderId="6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55" fillId="6" borderId="32" xfId="0" applyFont="1" applyFill="1" applyBorder="1" applyAlignment="1">
      <alignment horizontal="center" wrapText="1"/>
    </xf>
    <xf numFmtId="0" fontId="55" fillId="6" borderId="3" xfId="0" applyFont="1" applyFill="1" applyBorder="1" applyAlignment="1">
      <alignment horizontal="center" wrapText="1"/>
    </xf>
    <xf numFmtId="0" fontId="55" fillId="6" borderId="4" xfId="0" applyFont="1" applyFill="1" applyBorder="1" applyAlignment="1">
      <alignment horizontal="center" wrapText="1"/>
    </xf>
    <xf numFmtId="1" fontId="44" fillId="6" borderId="32" xfId="0" applyNumberFormat="1" applyFont="1" applyFill="1" applyBorder="1" applyAlignment="1">
      <alignment horizontal="center" vertical="center" wrapText="1"/>
    </xf>
    <xf numFmtId="1" fontId="44" fillId="6" borderId="3" xfId="0" applyNumberFormat="1" applyFont="1" applyFill="1" applyBorder="1" applyAlignment="1">
      <alignment horizontal="center" vertical="center" wrapText="1"/>
    </xf>
    <xf numFmtId="1" fontId="44" fillId="6" borderId="4" xfId="0" applyNumberFormat="1" applyFont="1" applyFill="1" applyBorder="1" applyAlignment="1">
      <alignment horizontal="center" vertical="center" wrapText="1"/>
    </xf>
    <xf numFmtId="1" fontId="44" fillId="6" borderId="10" xfId="0" applyNumberFormat="1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55" fillId="35" borderId="53" xfId="2" applyFont="1" applyFill="1" applyBorder="1" applyAlignment="1">
      <alignment horizontal="center" wrapText="1"/>
    </xf>
    <xf numFmtId="0" fontId="55" fillId="13" borderId="32" xfId="0" applyFont="1" applyFill="1" applyBorder="1" applyAlignment="1">
      <alignment horizontal="center" wrapText="1"/>
    </xf>
    <xf numFmtId="0" fontId="55" fillId="13" borderId="3" xfId="0" applyFont="1" applyFill="1" applyBorder="1" applyAlignment="1">
      <alignment horizontal="center" wrapText="1"/>
    </xf>
    <xf numFmtId="0" fontId="55" fillId="13" borderId="4" xfId="0" applyFont="1" applyFill="1" applyBorder="1" applyAlignment="1">
      <alignment horizontal="center" wrapText="1"/>
    </xf>
    <xf numFmtId="0" fontId="55" fillId="6" borderId="37" xfId="0" applyFont="1" applyFill="1" applyBorder="1" applyAlignment="1">
      <alignment horizontal="center" wrapText="1"/>
    </xf>
    <xf numFmtId="0" fontId="55" fillId="6" borderId="23" xfId="0" applyFont="1" applyFill="1" applyBorder="1" applyAlignment="1">
      <alignment horizontal="center" wrapText="1"/>
    </xf>
    <xf numFmtId="0" fontId="55" fillId="6" borderId="24" xfId="0" applyFont="1" applyFill="1" applyBorder="1" applyAlignment="1">
      <alignment horizontal="center" wrapText="1"/>
    </xf>
    <xf numFmtId="166" fontId="44" fillId="0" borderId="18" xfId="0" applyNumberFormat="1" applyFont="1" applyFill="1" applyBorder="1" applyAlignment="1">
      <alignment horizontal="center" vertical="center" wrapText="1"/>
    </xf>
    <xf numFmtId="0" fontId="55" fillId="29" borderId="32" xfId="0" applyFont="1" applyFill="1" applyBorder="1" applyAlignment="1">
      <alignment horizontal="center" wrapText="1"/>
    </xf>
    <xf numFmtId="0" fontId="55" fillId="29" borderId="3" xfId="0" applyFont="1" applyFill="1" applyBorder="1" applyAlignment="1">
      <alignment horizontal="center" wrapText="1"/>
    </xf>
    <xf numFmtId="0" fontId="55" fillId="29" borderId="4" xfId="0" applyFont="1" applyFill="1" applyBorder="1" applyAlignment="1">
      <alignment horizontal="center" wrapText="1"/>
    </xf>
    <xf numFmtId="0" fontId="99" fillId="6" borderId="37" xfId="0" applyFont="1" applyFill="1" applyBorder="1" applyAlignment="1">
      <alignment horizontal="center" wrapText="1"/>
    </xf>
    <xf numFmtId="0" fontId="99" fillId="6" borderId="23" xfId="0" applyFont="1" applyFill="1" applyBorder="1" applyAlignment="1">
      <alignment horizontal="center" wrapText="1"/>
    </xf>
    <xf numFmtId="0" fontId="99" fillId="6" borderId="24" xfId="0" applyFont="1" applyFill="1" applyBorder="1" applyAlignment="1">
      <alignment horizontal="center" wrapText="1"/>
    </xf>
    <xf numFmtId="0" fontId="2" fillId="12" borderId="12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/>
    </xf>
    <xf numFmtId="0" fontId="0" fillId="7" borderId="3" xfId="0" applyFill="1" applyBorder="1"/>
    <xf numFmtId="0" fontId="0" fillId="7" borderId="4" xfId="0" applyFill="1" applyBorder="1"/>
    <xf numFmtId="0" fontId="3" fillId="10" borderId="5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9" borderId="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7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10" borderId="3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6" borderId="5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2" fillId="22" borderId="1" xfId="0" applyFont="1" applyFill="1" applyBorder="1" applyAlignment="1">
      <alignment horizontal="center" wrapText="1"/>
    </xf>
    <xf numFmtId="0" fontId="3" fillId="2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21" borderId="39" xfId="0" applyFont="1" applyFill="1" applyBorder="1" applyAlignment="1">
      <alignment horizontal="center" wrapText="1"/>
    </xf>
    <xf numFmtId="0" fontId="7" fillId="21" borderId="41" xfId="0" applyFont="1" applyFill="1" applyBorder="1" applyAlignment="1">
      <alignment horizontal="center" wrapText="1"/>
    </xf>
    <xf numFmtId="0" fontId="7" fillId="21" borderId="4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7" borderId="8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2" fillId="10" borderId="5" xfId="0" applyFont="1" applyFill="1" applyBorder="1" applyAlignment="1">
      <alignment horizontal="center" wrapText="1"/>
    </xf>
    <xf numFmtId="0" fontId="0" fillId="0" borderId="6" xfId="0" applyBorder="1"/>
    <xf numFmtId="0" fontId="0" fillId="0" borderId="2" xfId="0" applyBorder="1"/>
    <xf numFmtId="0" fontId="2" fillId="7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7" fillId="10" borderId="5" xfId="0" applyFont="1" applyFill="1" applyBorder="1" applyAlignment="1">
      <alignment horizontal="center" wrapText="1"/>
    </xf>
    <xf numFmtId="0" fontId="7" fillId="10" borderId="6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7" borderId="15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21" borderId="34" xfId="0" applyFont="1" applyFill="1" applyBorder="1" applyAlignment="1">
      <alignment horizontal="center" wrapText="1"/>
    </xf>
    <xf numFmtId="0" fontId="7" fillId="21" borderId="7" xfId="0" applyFont="1" applyFill="1" applyBorder="1" applyAlignment="1">
      <alignment horizontal="center" wrapText="1"/>
    </xf>
    <xf numFmtId="0" fontId="7" fillId="21" borderId="40" xfId="0" applyFont="1" applyFill="1" applyBorder="1" applyAlignment="1">
      <alignment horizontal="center" wrapText="1"/>
    </xf>
    <xf numFmtId="0" fontId="7" fillId="21" borderId="15" xfId="0" applyFont="1" applyFill="1" applyBorder="1" applyAlignment="1">
      <alignment horizontal="center" wrapText="1"/>
    </xf>
    <xf numFmtId="0" fontId="7" fillId="21" borderId="42" xfId="0" applyFont="1" applyFill="1" applyBorder="1" applyAlignment="1">
      <alignment horizontal="center" wrapText="1"/>
    </xf>
    <xf numFmtId="0" fontId="7" fillId="21" borderId="10" xfId="0" applyFont="1" applyFill="1" applyBorder="1" applyAlignment="1">
      <alignment horizontal="center" wrapText="1"/>
    </xf>
    <xf numFmtId="0" fontId="7" fillId="21" borderId="37" xfId="0" applyFont="1" applyFill="1" applyBorder="1" applyAlignment="1">
      <alignment horizontal="center"/>
    </xf>
    <xf numFmtId="0" fontId="7" fillId="21" borderId="2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21" borderId="5" xfId="0" applyFont="1" applyFill="1" applyBorder="1" applyAlignment="1">
      <alignment horizontal="center" wrapText="1"/>
    </xf>
    <xf numFmtId="0" fontId="3" fillId="21" borderId="6" xfId="0" applyFont="1" applyFill="1" applyBorder="1" applyAlignment="1">
      <alignment horizontal="center" wrapText="1"/>
    </xf>
    <xf numFmtId="0" fontId="3" fillId="21" borderId="2" xfId="0" applyFont="1" applyFill="1" applyBorder="1" applyAlignment="1">
      <alignment horizontal="center" wrapText="1"/>
    </xf>
    <xf numFmtId="0" fontId="7" fillId="10" borderId="8" xfId="0" applyFont="1" applyFill="1" applyBorder="1" applyAlignment="1">
      <alignment horizontal="center" wrapText="1"/>
    </xf>
    <xf numFmtId="0" fontId="7" fillId="10" borderId="13" xfId="0" applyFont="1" applyFill="1" applyBorder="1" applyAlignment="1">
      <alignment horizontal="center" wrapText="1"/>
    </xf>
    <xf numFmtId="0" fontId="7" fillId="10" borderId="7" xfId="0" applyFont="1" applyFill="1" applyBorder="1" applyAlignment="1">
      <alignment horizontal="center" wrapText="1"/>
    </xf>
    <xf numFmtId="0" fontId="7" fillId="10" borderId="9" xfId="0" applyFont="1" applyFill="1" applyBorder="1" applyAlignment="1">
      <alignment horizontal="center" wrapText="1"/>
    </xf>
    <xf numFmtId="0" fontId="7" fillId="10" borderId="14" xfId="0" applyFont="1" applyFill="1" applyBorder="1" applyAlignment="1">
      <alignment horizontal="center" wrapText="1"/>
    </xf>
    <xf numFmtId="0" fontId="7" fillId="10" borderId="10" xfId="0" applyFont="1" applyFill="1" applyBorder="1" applyAlignment="1">
      <alignment horizontal="center" wrapText="1"/>
    </xf>
    <xf numFmtId="4" fontId="10" fillId="7" borderId="1" xfId="0" applyNumberFormat="1" applyFont="1" applyFill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1" fillId="7" borderId="1" xfId="0" applyNumberFormat="1" applyFont="1" applyFill="1" applyBorder="1" applyAlignment="1">
      <alignment horizontal="center" wrapText="1"/>
    </xf>
    <xf numFmtId="4" fontId="16" fillId="30" borderId="14" xfId="0" applyNumberFormat="1" applyFont="1" applyFill="1" applyBorder="1" applyAlignment="1">
      <alignment horizontal="center" wrapText="1"/>
    </xf>
    <xf numFmtId="4" fontId="11" fillId="12" borderId="3" xfId="0" applyNumberFormat="1" applyFont="1" applyFill="1" applyBorder="1" applyAlignment="1">
      <alignment horizontal="center" wrapText="1"/>
    </xf>
    <xf numFmtId="4" fontId="11" fillId="12" borderId="14" xfId="0" applyNumberFormat="1" applyFont="1" applyFill="1" applyBorder="1" applyAlignment="1">
      <alignment horizontal="center" wrapText="1"/>
    </xf>
    <xf numFmtId="4" fontId="11" fillId="9" borderId="12" xfId="0" applyNumberFormat="1" applyFont="1" applyFill="1" applyBorder="1" applyAlignment="1">
      <alignment horizontal="center" wrapText="1"/>
    </xf>
    <xf numFmtId="4" fontId="11" fillId="9" borderId="3" xfId="0" applyNumberFormat="1" applyFont="1" applyFill="1" applyBorder="1" applyAlignment="1">
      <alignment horizontal="center" wrapText="1"/>
    </xf>
    <xf numFmtId="4" fontId="11" fillId="9" borderId="4" xfId="0" applyNumberFormat="1" applyFont="1" applyFill="1" applyBorder="1" applyAlignment="1">
      <alignment horizontal="center" wrapText="1"/>
    </xf>
    <xf numFmtId="4" fontId="16" fillId="28" borderId="14" xfId="0" applyNumberFormat="1" applyFont="1" applyFill="1" applyBorder="1" applyAlignment="1">
      <alignment horizontal="center" wrapText="1"/>
    </xf>
    <xf numFmtId="4" fontId="16" fillId="23" borderId="47" xfId="2" applyNumberFormat="1" applyFont="1" applyFill="1" applyBorder="1" applyAlignment="1">
      <alignment horizontal="center" wrapText="1"/>
    </xf>
    <xf numFmtId="4" fontId="16" fillId="28" borderId="3" xfId="0" applyNumberFormat="1" applyFont="1" applyFill="1" applyBorder="1" applyAlignment="1">
      <alignment horizontal="center" wrapText="1"/>
    </xf>
    <xf numFmtId="0" fontId="79" fillId="0" borderId="0" xfId="0" applyFont="1" applyFill="1" applyBorder="1" applyAlignment="1">
      <alignment horizontal="center" vertical="center" wrapText="1"/>
    </xf>
    <xf numFmtId="4" fontId="11" fillId="7" borderId="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9" borderId="1" xfId="0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 wrapText="1"/>
    </xf>
    <xf numFmtId="0" fontId="37" fillId="31" borderId="1" xfId="0" applyFont="1" applyFill="1" applyBorder="1" applyAlignment="1">
      <alignment horizontal="center" vertical="center" wrapText="1"/>
    </xf>
    <xf numFmtId="0" fontId="85" fillId="0" borderId="5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7" borderId="1" xfId="0" applyFont="1" applyFill="1" applyBorder="1" applyAlignment="1">
      <alignment horizontal="center" vertical="center" wrapText="1"/>
    </xf>
    <xf numFmtId="0" fontId="44" fillId="19" borderId="1" xfId="0" applyFont="1" applyFill="1" applyBorder="1" applyAlignment="1">
      <alignment horizontal="center" vertical="center" wrapText="1"/>
    </xf>
    <xf numFmtId="0" fontId="46" fillId="31" borderId="5" xfId="0" applyFont="1" applyFill="1" applyBorder="1" applyAlignment="1">
      <alignment horizontal="center" vertical="center" wrapText="1"/>
    </xf>
    <xf numFmtId="0" fontId="46" fillId="31" borderId="6" xfId="0" applyFont="1" applyFill="1" applyBorder="1" applyAlignment="1">
      <alignment horizontal="center" vertical="center" wrapText="1"/>
    </xf>
    <xf numFmtId="0" fontId="46" fillId="31" borderId="2" xfId="0" applyFont="1" applyFill="1" applyBorder="1" applyAlignment="1">
      <alignment horizontal="center" vertical="center" wrapText="1"/>
    </xf>
    <xf numFmtId="0" fontId="46" fillId="9" borderId="5" xfId="0" applyFont="1" applyFill="1" applyBorder="1" applyAlignment="1">
      <alignment horizontal="center" vertical="center" wrapText="1"/>
    </xf>
    <xf numFmtId="0" fontId="46" fillId="9" borderId="6" xfId="0" applyFont="1" applyFill="1" applyBorder="1" applyAlignment="1">
      <alignment horizontal="center" vertical="center" wrapText="1"/>
    </xf>
    <xf numFmtId="0" fontId="46" fillId="9" borderId="2" xfId="0" applyFont="1" applyFill="1" applyBorder="1" applyAlignment="1">
      <alignment horizontal="center" vertical="center" wrapText="1"/>
    </xf>
    <xf numFmtId="0" fontId="85" fillId="31" borderId="5" xfId="0" applyFont="1" applyFill="1" applyBorder="1" applyAlignment="1">
      <alignment horizontal="center" vertical="center" wrapText="1"/>
    </xf>
    <xf numFmtId="0" fontId="85" fillId="31" borderId="6" xfId="0" applyFont="1" applyFill="1" applyBorder="1" applyAlignment="1">
      <alignment horizontal="center" vertical="center" wrapText="1"/>
    </xf>
    <xf numFmtId="0" fontId="85" fillId="31" borderId="2" xfId="0" applyFont="1" applyFill="1" applyBorder="1" applyAlignment="1">
      <alignment horizontal="center" vertical="center" wrapText="1"/>
    </xf>
    <xf numFmtId="0" fontId="127" fillId="31" borderId="1" xfId="0" applyFont="1" applyFill="1" applyBorder="1" applyAlignment="1">
      <alignment horizontal="center" vertical="center" wrapText="1"/>
    </xf>
    <xf numFmtId="0" fontId="129" fillId="0" borderId="5" xfId="0" applyFont="1" applyFill="1" applyBorder="1" applyAlignment="1">
      <alignment horizontal="center" vertical="center" wrapText="1"/>
    </xf>
    <xf numFmtId="0" fontId="129" fillId="0" borderId="2" xfId="0" applyFont="1" applyFill="1" applyBorder="1" applyAlignment="1">
      <alignment horizontal="center" vertical="center" wrapText="1"/>
    </xf>
    <xf numFmtId="0" fontId="46" fillId="31" borderId="12" xfId="0" applyFont="1" applyFill="1" applyBorder="1" applyAlignment="1">
      <alignment horizontal="center" vertical="center"/>
    </xf>
    <xf numFmtId="0" fontId="46" fillId="31" borderId="3" xfId="0" applyFont="1" applyFill="1" applyBorder="1" applyAlignment="1">
      <alignment horizontal="center" vertical="center"/>
    </xf>
    <xf numFmtId="0" fontId="46" fillId="31" borderId="4" xfId="0" applyFont="1" applyFill="1" applyBorder="1" applyAlignment="1">
      <alignment horizontal="center" vertical="center"/>
    </xf>
    <xf numFmtId="0" fontId="126" fillId="17" borderId="12" xfId="0" applyFont="1" applyFill="1" applyBorder="1" applyAlignment="1">
      <alignment horizontal="center" vertical="center"/>
    </xf>
    <xf numFmtId="0" fontId="126" fillId="17" borderId="3" xfId="0" applyFont="1" applyFill="1" applyBorder="1" applyAlignment="1">
      <alignment horizontal="center" vertical="center"/>
    </xf>
    <xf numFmtId="0" fontId="126" fillId="17" borderId="4" xfId="0" applyFont="1" applyFill="1" applyBorder="1" applyAlignment="1">
      <alignment horizontal="center" vertical="center"/>
    </xf>
    <xf numFmtId="0" fontId="129" fillId="0" borderId="12" xfId="0" applyFont="1" applyFill="1" applyBorder="1" applyAlignment="1">
      <alignment horizontal="center" vertical="center" wrapText="1"/>
    </xf>
    <xf numFmtId="0" fontId="129" fillId="0" borderId="4" xfId="0" applyFont="1" applyFill="1" applyBorder="1" applyAlignment="1">
      <alignment horizontal="center" vertical="center" wrapText="1"/>
    </xf>
    <xf numFmtId="0" fontId="129" fillId="16" borderId="12" xfId="0" applyFont="1" applyFill="1" applyBorder="1" applyAlignment="1">
      <alignment horizontal="center" vertical="center" wrapText="1"/>
    </xf>
    <xf numFmtId="0" fontId="129" fillId="16" borderId="4" xfId="0" applyFont="1" applyFill="1" applyBorder="1" applyAlignment="1">
      <alignment horizontal="center" vertical="center" wrapText="1"/>
    </xf>
    <xf numFmtId="0" fontId="127" fillId="31" borderId="5" xfId="0" applyFont="1" applyFill="1" applyBorder="1" applyAlignment="1">
      <alignment horizontal="center" vertical="center" wrapText="1"/>
    </xf>
    <xf numFmtId="0" fontId="127" fillId="31" borderId="2" xfId="0" applyFont="1" applyFill="1" applyBorder="1" applyAlignment="1">
      <alignment horizontal="center" vertical="center" wrapText="1"/>
    </xf>
    <xf numFmtId="0" fontId="130" fillId="31" borderId="1" xfId="0" applyFont="1" applyFill="1" applyBorder="1" applyAlignment="1">
      <alignment horizontal="center" vertical="center" wrapText="1"/>
    </xf>
    <xf numFmtId="0" fontId="46" fillId="31" borderId="12" xfId="0" applyFont="1" applyFill="1" applyBorder="1" applyAlignment="1">
      <alignment horizontal="center" vertical="center" wrapText="1"/>
    </xf>
    <xf numFmtId="0" fontId="46" fillId="31" borderId="3" xfId="0" applyFont="1" applyFill="1" applyBorder="1" applyAlignment="1">
      <alignment horizontal="center" vertical="center" wrapText="1"/>
    </xf>
    <xf numFmtId="0" fontId="46" fillId="31" borderId="4" xfId="0" applyFont="1" applyFill="1" applyBorder="1" applyAlignment="1">
      <alignment horizontal="center" vertical="center" wrapText="1"/>
    </xf>
    <xf numFmtId="0" fontId="130" fillId="31" borderId="12" xfId="0" applyFont="1" applyFill="1" applyBorder="1" applyAlignment="1">
      <alignment horizontal="center" vertical="center" wrapText="1"/>
    </xf>
    <xf numFmtId="0" fontId="130" fillId="0" borderId="12" xfId="0" applyFont="1" applyFill="1" applyBorder="1" applyAlignment="1">
      <alignment horizontal="center" vertical="center" wrapText="1"/>
    </xf>
    <xf numFmtId="0" fontId="130" fillId="0" borderId="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129" fillId="16" borderId="5" xfId="0" applyFont="1" applyFill="1" applyBorder="1" applyAlignment="1">
      <alignment horizontal="center" vertical="center" wrapText="1"/>
    </xf>
    <xf numFmtId="0" fontId="129" fillId="16" borderId="2" xfId="0" applyFont="1" applyFill="1" applyBorder="1" applyAlignment="1">
      <alignment horizontal="center" vertical="center" wrapText="1"/>
    </xf>
    <xf numFmtId="0" fontId="129" fillId="5" borderId="12" xfId="0" applyFont="1" applyFill="1" applyBorder="1" applyAlignment="1">
      <alignment horizontal="center" vertical="center" wrapText="1"/>
    </xf>
    <xf numFmtId="0" fontId="129" fillId="5" borderId="4" xfId="0" applyFont="1" applyFill="1" applyBorder="1" applyAlignment="1">
      <alignment horizontal="center" vertical="center" wrapText="1"/>
    </xf>
    <xf numFmtId="0" fontId="129" fillId="5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1" borderId="12" xfId="0" applyFill="1" applyBorder="1" applyAlignment="1">
      <alignment horizontal="center" vertical="center"/>
    </xf>
    <xf numFmtId="0" fontId="0" fillId="31" borderId="3" xfId="0" applyFill="1" applyBorder="1" applyAlignment="1">
      <alignment horizontal="center" vertical="center"/>
    </xf>
    <xf numFmtId="0" fontId="0" fillId="31" borderId="4" xfId="0" applyFill="1" applyBorder="1" applyAlignment="1">
      <alignment horizontal="center" vertical="center"/>
    </xf>
    <xf numFmtId="0" fontId="46" fillId="16" borderId="12" xfId="0" applyFont="1" applyFill="1" applyBorder="1" applyAlignment="1">
      <alignment horizontal="center" vertical="center" wrapText="1"/>
    </xf>
    <xf numFmtId="0" fontId="46" fillId="16" borderId="3" xfId="0" applyFont="1" applyFill="1" applyBorder="1" applyAlignment="1">
      <alignment horizontal="center" vertical="center" wrapText="1"/>
    </xf>
    <xf numFmtId="0" fontId="46" fillId="16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2" fillId="31" borderId="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8" fillId="0" borderId="0" xfId="0" applyFont="1" applyAlignment="1">
      <alignment horizontal="center"/>
    </xf>
    <xf numFmtId="0" fontId="44" fillId="0" borderId="70" xfId="0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29" xfId="0" applyBorder="1"/>
    <xf numFmtId="0" fontId="28" fillId="0" borderId="21" xfId="0" applyFont="1" applyFill="1" applyBorder="1" applyAlignment="1">
      <alignment horizontal="center" vertical="center" wrapText="1"/>
    </xf>
    <xf numFmtId="0" fontId="139" fillId="0" borderId="0" xfId="0" applyFont="1" applyAlignment="1">
      <alignment horizontal="left" wrapText="1"/>
    </xf>
    <xf numFmtId="0" fontId="0" fillId="0" borderId="0" xfId="0" applyAlignment="1"/>
    <xf numFmtId="0" fontId="140" fillId="0" borderId="71" xfId="0" applyFont="1" applyBorder="1" applyAlignment="1">
      <alignment horizontal="center" vertical="center" textRotation="90"/>
    </xf>
    <xf numFmtId="0" fontId="140" fillId="0" borderId="41" xfId="0" applyFont="1" applyBorder="1" applyAlignment="1">
      <alignment horizontal="center" vertical="center" textRotation="90"/>
    </xf>
    <xf numFmtId="0" fontId="140" fillId="0" borderId="43" xfId="0" applyFont="1" applyBorder="1" applyAlignment="1">
      <alignment horizontal="center" vertical="center" textRotation="90"/>
    </xf>
    <xf numFmtId="0" fontId="139" fillId="0" borderId="0" xfId="0" applyFont="1" applyAlignment="1">
      <alignment wrapText="1"/>
    </xf>
    <xf numFmtId="0" fontId="0" fillId="0" borderId="0" xfId="0" applyAlignment="1">
      <alignment wrapText="1"/>
    </xf>
    <xf numFmtId="0" fontId="1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0" fillId="0" borderId="12" xfId="0" applyFont="1" applyFill="1" applyBorder="1" applyAlignment="1">
      <alignment horizontal="center" vertical="center" wrapText="1"/>
    </xf>
    <xf numFmtId="0" fontId="120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4" fillId="0" borderId="22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39" fillId="0" borderId="3" xfId="0" applyFont="1" applyFill="1" applyBorder="1" applyAlignment="1">
      <alignment horizontal="center" vertical="center" wrapText="1"/>
    </xf>
    <xf numFmtId="0" fontId="120" fillId="0" borderId="4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/>
    </xf>
    <xf numFmtId="0" fontId="141" fillId="0" borderId="18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39" fillId="0" borderId="0" xfId="0" applyFont="1" applyFill="1" applyAlignment="1">
      <alignment wrapText="1"/>
    </xf>
  </cellXfs>
  <cellStyles count="10">
    <cellStyle name="Excel Built-in Normal" xfId="2"/>
    <cellStyle name="Excel Built-in Normal 1" xfId="4"/>
    <cellStyle name="Excel Built-in Normal 2" xfId="5"/>
    <cellStyle name="Excel Built-in Normal 3" xfId="6"/>
    <cellStyle name="Excel Built-in Normal 4" xfId="8"/>
    <cellStyle name="Excel Built-in Normal 5" xfId="9"/>
    <cellStyle name="Normal 2" xfId="7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9" defaultPivotStyle="PivotStyleLight16"/>
  <colors>
    <mruColors>
      <color rgb="FFFFCCFF"/>
      <color rgb="FFFF33CC"/>
      <color rgb="FFFF66CC"/>
      <color rgb="FF66FF33"/>
      <color rgb="FFFF3399"/>
      <color rgb="FF8BE1FF"/>
      <color rgb="FFFFCC66"/>
      <color rgb="FFFF99FF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125</xdr:col>
      <xdr:colOff>106680</xdr:colOff>
      <xdr:row>5</xdr:row>
      <xdr:rowOff>662940</xdr:rowOff>
    </xdr:from>
    <xdr:to>
      <xdr:col>126</xdr:col>
      <xdr:colOff>0</xdr:colOff>
      <xdr:row>6</xdr:row>
      <xdr:rowOff>6610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1229140" y="2506980"/>
          <a:ext cx="617220" cy="7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</xdr:col>
      <xdr:colOff>0</xdr:colOff>
      <xdr:row>4</xdr:row>
      <xdr:rowOff>1257300</xdr:rowOff>
    </xdr:from>
    <xdr:to>
      <xdr:col>76</xdr:col>
      <xdr:colOff>30480</xdr:colOff>
      <xdr:row>5</xdr:row>
      <xdr:rowOff>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68740020" y="2247900"/>
          <a:ext cx="30480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5</xdr:row>
      <xdr:rowOff>662940</xdr:rowOff>
    </xdr:from>
    <xdr:to>
      <xdr:col>124</xdr:col>
      <xdr:colOff>853807</xdr:colOff>
      <xdr:row>6</xdr:row>
      <xdr:rowOff>6610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2506980"/>
          <a:ext cx="617220" cy="7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</xdr:col>
      <xdr:colOff>0</xdr:colOff>
      <xdr:row>4</xdr:row>
      <xdr:rowOff>1257300</xdr:rowOff>
    </xdr:from>
    <xdr:to>
      <xdr:col>76</xdr:col>
      <xdr:colOff>30480</xdr:colOff>
      <xdr:row>5</xdr:row>
      <xdr:rowOff>1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68740020" y="2247900"/>
          <a:ext cx="30480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13</xdr:row>
      <xdr:rowOff>678180</xdr:rowOff>
    </xdr:from>
    <xdr:to>
      <xdr:col>124</xdr:col>
      <xdr:colOff>853807</xdr:colOff>
      <xdr:row>15</xdr:row>
      <xdr:rowOff>97733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5181600"/>
          <a:ext cx="617220" cy="61589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23</xdr:row>
      <xdr:rowOff>662940</xdr:rowOff>
    </xdr:from>
    <xdr:to>
      <xdr:col>124</xdr:col>
      <xdr:colOff>853807</xdr:colOff>
      <xdr:row>24</xdr:row>
      <xdr:rowOff>26763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8305800"/>
          <a:ext cx="617220" cy="2286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37</xdr:row>
      <xdr:rowOff>0</xdr:rowOff>
    </xdr:from>
    <xdr:to>
      <xdr:col>124</xdr:col>
      <xdr:colOff>411480</xdr:colOff>
      <xdr:row>37</xdr:row>
      <xdr:rowOff>205739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11254740"/>
          <a:ext cx="304800" cy="2590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47</xdr:row>
      <xdr:rowOff>662940</xdr:rowOff>
    </xdr:from>
    <xdr:to>
      <xdr:col>124</xdr:col>
      <xdr:colOff>853807</xdr:colOff>
      <xdr:row>48</xdr:row>
      <xdr:rowOff>7621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13914120"/>
          <a:ext cx="617220" cy="762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82</xdr:row>
      <xdr:rowOff>0</xdr:rowOff>
    </xdr:from>
    <xdr:to>
      <xdr:col>124</xdr:col>
      <xdr:colOff>411480</xdr:colOff>
      <xdr:row>82</xdr:row>
      <xdr:rowOff>205739</xdr:rowOff>
    </xdr:to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25908000"/>
          <a:ext cx="304800" cy="2590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85</xdr:row>
      <xdr:rowOff>655320</xdr:rowOff>
    </xdr:from>
    <xdr:to>
      <xdr:col>124</xdr:col>
      <xdr:colOff>853807</xdr:colOff>
      <xdr:row>86</xdr:row>
      <xdr:rowOff>7619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26761440"/>
          <a:ext cx="617220" cy="76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101</xdr:row>
      <xdr:rowOff>662940</xdr:rowOff>
    </xdr:from>
    <xdr:to>
      <xdr:col>124</xdr:col>
      <xdr:colOff>853807</xdr:colOff>
      <xdr:row>102</xdr:row>
      <xdr:rowOff>15240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30739080"/>
          <a:ext cx="617220" cy="1523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678180</xdr:rowOff>
    </xdr:from>
    <xdr:to>
      <xdr:col>124</xdr:col>
      <xdr:colOff>853807</xdr:colOff>
      <xdr:row>108</xdr:row>
      <xdr:rowOff>15241</xdr:rowOff>
    </xdr:to>
    <xdr:pic>
      <xdr:nvPicPr>
        <xdr:cNvPr id="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32034480"/>
          <a:ext cx="617220" cy="1524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170</xdr:row>
      <xdr:rowOff>0</xdr:rowOff>
    </xdr:from>
    <xdr:to>
      <xdr:col>125</xdr:col>
      <xdr:colOff>411480</xdr:colOff>
      <xdr:row>170</xdr:row>
      <xdr:rowOff>205740</xdr:rowOff>
    </xdr:to>
    <xdr:pic>
      <xdr:nvPicPr>
        <xdr:cNvPr id="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1229140" y="46657260"/>
          <a:ext cx="304800" cy="2590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199</xdr:row>
      <xdr:rowOff>0</xdr:rowOff>
    </xdr:from>
    <xdr:to>
      <xdr:col>125</xdr:col>
      <xdr:colOff>381000</xdr:colOff>
      <xdr:row>199</xdr:row>
      <xdr:rowOff>205739</xdr:rowOff>
    </xdr:to>
    <xdr:pic>
      <xdr:nvPicPr>
        <xdr:cNvPr id="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1229140" y="55747920"/>
          <a:ext cx="274320" cy="2590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</xdr:col>
      <xdr:colOff>106680</xdr:colOff>
      <xdr:row>211</xdr:row>
      <xdr:rowOff>0</xdr:rowOff>
    </xdr:from>
    <xdr:to>
      <xdr:col>120</xdr:col>
      <xdr:colOff>411480</xdr:colOff>
      <xdr:row>211</xdr:row>
      <xdr:rowOff>205738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6961940" y="59138820"/>
          <a:ext cx="304800" cy="259078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63</xdr:row>
      <xdr:rowOff>662940</xdr:rowOff>
    </xdr:from>
    <xdr:to>
      <xdr:col>126</xdr:col>
      <xdr:colOff>0</xdr:colOff>
      <xdr:row>64</xdr:row>
      <xdr:rowOff>11063</xdr:rowOff>
    </xdr:to>
    <xdr:pic>
      <xdr:nvPicPr>
        <xdr:cNvPr id="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1229140" y="19964400"/>
          <a:ext cx="632460" cy="7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</xdr:col>
      <xdr:colOff>0</xdr:colOff>
      <xdr:row>4</xdr:row>
      <xdr:rowOff>1257300</xdr:rowOff>
    </xdr:from>
    <xdr:to>
      <xdr:col>77</xdr:col>
      <xdr:colOff>30480</xdr:colOff>
      <xdr:row>5</xdr:row>
      <xdr:rowOff>1</xdr:rowOff>
    </xdr:to>
    <xdr:pic>
      <xdr:nvPicPr>
        <xdr:cNvPr id="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70157340" y="2247900"/>
          <a:ext cx="30480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5</xdr:row>
      <xdr:rowOff>662940</xdr:rowOff>
    </xdr:from>
    <xdr:to>
      <xdr:col>125</xdr:col>
      <xdr:colOff>114300</xdr:colOff>
      <xdr:row>6</xdr:row>
      <xdr:rowOff>6610</xdr:rowOff>
    </xdr:to>
    <xdr:pic>
      <xdr:nvPicPr>
        <xdr:cNvPr id="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2506980"/>
          <a:ext cx="861061" cy="7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76</xdr:col>
      <xdr:colOff>0</xdr:colOff>
      <xdr:row>4</xdr:row>
      <xdr:rowOff>1257300</xdr:rowOff>
    </xdr:from>
    <xdr:to>
      <xdr:col>76</xdr:col>
      <xdr:colOff>30480</xdr:colOff>
      <xdr:row>5</xdr:row>
      <xdr:rowOff>0</xdr:rowOff>
    </xdr:to>
    <xdr:pic>
      <xdr:nvPicPr>
        <xdr:cNvPr id="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68740020" y="2247900"/>
          <a:ext cx="30480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13</xdr:row>
      <xdr:rowOff>678180</xdr:rowOff>
    </xdr:from>
    <xdr:to>
      <xdr:col>125</xdr:col>
      <xdr:colOff>114300</xdr:colOff>
      <xdr:row>14</xdr:row>
      <xdr:rowOff>15239</xdr:rowOff>
    </xdr:to>
    <xdr:pic>
      <xdr:nvPicPr>
        <xdr:cNvPr id="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5181600"/>
          <a:ext cx="861061" cy="152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23</xdr:row>
      <xdr:rowOff>662940</xdr:rowOff>
    </xdr:from>
    <xdr:to>
      <xdr:col>125</xdr:col>
      <xdr:colOff>114300</xdr:colOff>
      <xdr:row>24</xdr:row>
      <xdr:rowOff>26762</xdr:rowOff>
    </xdr:to>
    <xdr:pic>
      <xdr:nvPicPr>
        <xdr:cNvPr id="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8305800"/>
          <a:ext cx="861061" cy="228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37</xdr:row>
      <xdr:rowOff>0</xdr:rowOff>
    </xdr:from>
    <xdr:to>
      <xdr:col>124</xdr:col>
      <xdr:colOff>411480</xdr:colOff>
      <xdr:row>38</xdr:row>
      <xdr:rowOff>117834</xdr:rowOff>
    </xdr:to>
    <xdr:pic>
      <xdr:nvPicPr>
        <xdr:cNvPr id="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11254740"/>
          <a:ext cx="304800" cy="43787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47</xdr:row>
      <xdr:rowOff>662940</xdr:rowOff>
    </xdr:from>
    <xdr:to>
      <xdr:col>125</xdr:col>
      <xdr:colOff>114300</xdr:colOff>
      <xdr:row>48</xdr:row>
      <xdr:rowOff>7620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13914120"/>
          <a:ext cx="861061" cy="7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82</xdr:row>
      <xdr:rowOff>0</xdr:rowOff>
    </xdr:from>
    <xdr:to>
      <xdr:col>124</xdr:col>
      <xdr:colOff>411480</xdr:colOff>
      <xdr:row>83</xdr:row>
      <xdr:rowOff>99151</xdr:rowOff>
    </xdr:to>
    <xdr:pic>
      <xdr:nvPicPr>
        <xdr:cNvPr id="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25908000"/>
          <a:ext cx="304800" cy="3505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85</xdr:row>
      <xdr:rowOff>655320</xdr:rowOff>
    </xdr:from>
    <xdr:to>
      <xdr:col>125</xdr:col>
      <xdr:colOff>114300</xdr:colOff>
      <xdr:row>86</xdr:row>
      <xdr:rowOff>7620</xdr:rowOff>
    </xdr:to>
    <xdr:pic>
      <xdr:nvPicPr>
        <xdr:cNvPr id="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26761440"/>
          <a:ext cx="861061" cy="7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101</xdr:row>
      <xdr:rowOff>662940</xdr:rowOff>
    </xdr:from>
    <xdr:to>
      <xdr:col>125</xdr:col>
      <xdr:colOff>114300</xdr:colOff>
      <xdr:row>102</xdr:row>
      <xdr:rowOff>15241</xdr:rowOff>
    </xdr:to>
    <xdr:pic>
      <xdr:nvPicPr>
        <xdr:cNvPr id="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30739080"/>
          <a:ext cx="861061" cy="152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678180</xdr:rowOff>
    </xdr:from>
    <xdr:to>
      <xdr:col>125</xdr:col>
      <xdr:colOff>114300</xdr:colOff>
      <xdr:row>108</xdr:row>
      <xdr:rowOff>15240</xdr:rowOff>
    </xdr:to>
    <xdr:pic>
      <xdr:nvPicPr>
        <xdr:cNvPr id="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0375700" y="32034480"/>
          <a:ext cx="861061" cy="152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170</xdr:row>
      <xdr:rowOff>0</xdr:rowOff>
    </xdr:from>
    <xdr:to>
      <xdr:col>125</xdr:col>
      <xdr:colOff>411480</xdr:colOff>
      <xdr:row>171</xdr:row>
      <xdr:rowOff>114299</xdr:rowOff>
    </xdr:to>
    <xdr:pic>
      <xdr:nvPicPr>
        <xdr:cNvPr id="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1229140" y="46657260"/>
          <a:ext cx="304800" cy="4419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199</xdr:row>
      <xdr:rowOff>0</xdr:rowOff>
    </xdr:from>
    <xdr:to>
      <xdr:col>125</xdr:col>
      <xdr:colOff>381000</xdr:colOff>
      <xdr:row>200</xdr:row>
      <xdr:rowOff>99155</xdr:rowOff>
    </xdr:to>
    <xdr:pic>
      <xdr:nvPicPr>
        <xdr:cNvPr id="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1229140" y="55747920"/>
          <a:ext cx="274320" cy="3505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</xdr:col>
      <xdr:colOff>106680</xdr:colOff>
      <xdr:row>211</xdr:row>
      <xdr:rowOff>0</xdr:rowOff>
    </xdr:from>
    <xdr:to>
      <xdr:col>120</xdr:col>
      <xdr:colOff>411480</xdr:colOff>
      <xdr:row>212</xdr:row>
      <xdr:rowOff>99061</xdr:rowOff>
    </xdr:to>
    <xdr:pic>
      <xdr:nvPicPr>
        <xdr:cNvPr id="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6961940" y="59138820"/>
          <a:ext cx="304800" cy="3733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63</xdr:row>
      <xdr:rowOff>662940</xdr:rowOff>
    </xdr:from>
    <xdr:to>
      <xdr:col>126</xdr:col>
      <xdr:colOff>129540</xdr:colOff>
      <xdr:row>64</xdr:row>
      <xdr:rowOff>11063</xdr:rowOff>
    </xdr:to>
    <xdr:pic>
      <xdr:nvPicPr>
        <xdr:cNvPr id="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11229140" y="19964400"/>
          <a:ext cx="876300" cy="7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77</xdr:col>
      <xdr:colOff>0</xdr:colOff>
      <xdr:row>4</xdr:row>
      <xdr:rowOff>1257300</xdr:rowOff>
    </xdr:from>
    <xdr:to>
      <xdr:col>77</xdr:col>
      <xdr:colOff>30480</xdr:colOff>
      <xdr:row>5</xdr:row>
      <xdr:rowOff>0</xdr:rowOff>
    </xdr:to>
    <xdr:pic>
      <xdr:nvPicPr>
        <xdr:cNvPr id="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70157340" y="2247900"/>
          <a:ext cx="30480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124</xdr:col>
      <xdr:colOff>123825</xdr:colOff>
      <xdr:row>36</xdr:row>
      <xdr:rowOff>152400</xdr:rowOff>
    </xdr:from>
    <xdr:to>
      <xdr:col>124</xdr:col>
      <xdr:colOff>419100</xdr:colOff>
      <xdr:row>37</xdr:row>
      <xdr:rowOff>200025</xdr:rowOff>
    </xdr:to>
    <xdr:pic>
      <xdr:nvPicPr>
        <xdr:cNvPr id="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32450" y="9144000"/>
          <a:ext cx="295275" cy="2571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124</xdr:col>
      <xdr:colOff>106680</xdr:colOff>
      <xdr:row>37</xdr:row>
      <xdr:rowOff>0</xdr:rowOff>
    </xdr:from>
    <xdr:to>
      <xdr:col>124</xdr:col>
      <xdr:colOff>411480</xdr:colOff>
      <xdr:row>37</xdr:row>
      <xdr:rowOff>205739</xdr:rowOff>
    </xdr:to>
    <xdr:pic>
      <xdr:nvPicPr>
        <xdr:cNvPr id="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-10000"/>
        </a:blip>
        <a:srcRect/>
        <a:stretch>
          <a:fillRect/>
        </a:stretch>
      </xdr:blipFill>
      <xdr:spPr bwMode="auto">
        <a:xfrm>
          <a:off x="107539155" y="6219825"/>
          <a:ext cx="304800" cy="20573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37</xdr:row>
      <xdr:rowOff>0</xdr:rowOff>
    </xdr:from>
    <xdr:to>
      <xdr:col>124</xdr:col>
      <xdr:colOff>411480</xdr:colOff>
      <xdr:row>38</xdr:row>
      <xdr:rowOff>117834</xdr:rowOff>
    </xdr:to>
    <xdr:pic>
      <xdr:nvPicPr>
        <xdr:cNvPr id="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-10000"/>
        </a:blip>
        <a:srcRect/>
        <a:stretch>
          <a:fillRect/>
        </a:stretch>
      </xdr:blipFill>
      <xdr:spPr bwMode="auto">
        <a:xfrm>
          <a:off x="107539155" y="6219825"/>
          <a:ext cx="304800" cy="35595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47</xdr:row>
      <xdr:rowOff>662940</xdr:rowOff>
    </xdr:from>
    <xdr:to>
      <xdr:col>124</xdr:col>
      <xdr:colOff>853807</xdr:colOff>
      <xdr:row>48</xdr:row>
      <xdr:rowOff>7621</xdr:rowOff>
    </xdr:to>
    <xdr:pic>
      <xdr:nvPicPr>
        <xdr:cNvPr id="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11702415"/>
          <a:ext cx="721995" cy="1143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47</xdr:row>
      <xdr:rowOff>662940</xdr:rowOff>
    </xdr:from>
    <xdr:to>
      <xdr:col>125</xdr:col>
      <xdr:colOff>114300</xdr:colOff>
      <xdr:row>48</xdr:row>
      <xdr:rowOff>7620</xdr:rowOff>
    </xdr:to>
    <xdr:pic>
      <xdr:nvPicPr>
        <xdr:cNvPr id="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11702415"/>
          <a:ext cx="836296" cy="1143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63</xdr:row>
      <xdr:rowOff>662940</xdr:rowOff>
    </xdr:from>
    <xdr:to>
      <xdr:col>126</xdr:col>
      <xdr:colOff>0</xdr:colOff>
      <xdr:row>64</xdr:row>
      <xdr:rowOff>11063</xdr:rowOff>
    </xdr:to>
    <xdr:pic>
      <xdr:nvPicPr>
        <xdr:cNvPr id="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8015405" y="17931765"/>
          <a:ext cx="721995" cy="1487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63</xdr:row>
      <xdr:rowOff>662940</xdr:rowOff>
    </xdr:from>
    <xdr:to>
      <xdr:col>126</xdr:col>
      <xdr:colOff>129540</xdr:colOff>
      <xdr:row>64</xdr:row>
      <xdr:rowOff>11063</xdr:rowOff>
    </xdr:to>
    <xdr:pic>
      <xdr:nvPicPr>
        <xdr:cNvPr id="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8015405" y="17931765"/>
          <a:ext cx="851535" cy="1487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104775</xdr:colOff>
      <xdr:row>82</xdr:row>
      <xdr:rowOff>0</xdr:rowOff>
    </xdr:from>
    <xdr:to>
      <xdr:col>124</xdr:col>
      <xdr:colOff>409575</xdr:colOff>
      <xdr:row>82</xdr:row>
      <xdr:rowOff>209550</xdr:rowOff>
    </xdr:to>
    <xdr:pic>
      <xdr:nvPicPr>
        <xdr:cNvPr id="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84825" y="23717250"/>
          <a:ext cx="304800" cy="2095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124</xdr:col>
      <xdr:colOff>104775</xdr:colOff>
      <xdr:row>82</xdr:row>
      <xdr:rowOff>0</xdr:rowOff>
    </xdr:from>
    <xdr:to>
      <xdr:col>124</xdr:col>
      <xdr:colOff>409575</xdr:colOff>
      <xdr:row>83</xdr:row>
      <xdr:rowOff>99152</xdr:rowOff>
    </xdr:to>
    <xdr:pic>
      <xdr:nvPicPr>
        <xdr:cNvPr id="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84825" y="23717250"/>
          <a:ext cx="304800" cy="3143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124</xdr:col>
      <xdr:colOff>104775</xdr:colOff>
      <xdr:row>82</xdr:row>
      <xdr:rowOff>0</xdr:rowOff>
    </xdr:from>
    <xdr:to>
      <xdr:col>124</xdr:col>
      <xdr:colOff>409575</xdr:colOff>
      <xdr:row>83</xdr:row>
      <xdr:rowOff>19050</xdr:rowOff>
    </xdr:to>
    <xdr:pic>
      <xdr:nvPicPr>
        <xdr:cNvPr id="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84825" y="25698450"/>
          <a:ext cx="304800" cy="2571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124</xdr:col>
      <xdr:colOff>104775</xdr:colOff>
      <xdr:row>82</xdr:row>
      <xdr:rowOff>0</xdr:rowOff>
    </xdr:from>
    <xdr:to>
      <xdr:col>124</xdr:col>
      <xdr:colOff>409575</xdr:colOff>
      <xdr:row>83</xdr:row>
      <xdr:rowOff>114300</xdr:rowOff>
    </xdr:to>
    <xdr:pic>
      <xdr:nvPicPr>
        <xdr:cNvPr id="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84825" y="25698450"/>
          <a:ext cx="304800" cy="3524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124</xdr:col>
      <xdr:colOff>106680</xdr:colOff>
      <xdr:row>85</xdr:row>
      <xdr:rowOff>655320</xdr:rowOff>
    </xdr:from>
    <xdr:to>
      <xdr:col>124</xdr:col>
      <xdr:colOff>853807</xdr:colOff>
      <xdr:row>86</xdr:row>
      <xdr:rowOff>7619</xdr:rowOff>
    </xdr:to>
    <xdr:pic>
      <xdr:nvPicPr>
        <xdr:cNvPr id="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-10000"/>
        </a:blip>
        <a:srcRect/>
        <a:stretch>
          <a:fillRect/>
        </a:stretch>
      </xdr:blipFill>
      <xdr:spPr bwMode="auto">
        <a:xfrm>
          <a:off x="107186730" y="24601170"/>
          <a:ext cx="721995" cy="952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85</xdr:row>
      <xdr:rowOff>655320</xdr:rowOff>
    </xdr:from>
    <xdr:to>
      <xdr:col>125</xdr:col>
      <xdr:colOff>114300</xdr:colOff>
      <xdr:row>86</xdr:row>
      <xdr:rowOff>7620</xdr:rowOff>
    </xdr:to>
    <xdr:pic>
      <xdr:nvPicPr>
        <xdr:cNvPr id="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-10000"/>
        </a:blip>
        <a:srcRect/>
        <a:stretch>
          <a:fillRect/>
        </a:stretch>
      </xdr:blipFill>
      <xdr:spPr bwMode="auto">
        <a:xfrm>
          <a:off x="107186730" y="24601170"/>
          <a:ext cx="836296" cy="95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101</xdr:row>
      <xdr:rowOff>662940</xdr:rowOff>
    </xdr:from>
    <xdr:to>
      <xdr:col>124</xdr:col>
      <xdr:colOff>853807</xdr:colOff>
      <xdr:row>102</xdr:row>
      <xdr:rowOff>15240</xdr:rowOff>
    </xdr:to>
    <xdr:pic>
      <xdr:nvPicPr>
        <xdr:cNvPr id="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533090"/>
          <a:ext cx="721995" cy="19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101</xdr:row>
      <xdr:rowOff>662940</xdr:rowOff>
    </xdr:from>
    <xdr:to>
      <xdr:col>125</xdr:col>
      <xdr:colOff>114300</xdr:colOff>
      <xdr:row>102</xdr:row>
      <xdr:rowOff>15241</xdr:rowOff>
    </xdr:to>
    <xdr:pic>
      <xdr:nvPicPr>
        <xdr:cNvPr id="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533090"/>
          <a:ext cx="836296" cy="1905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124</xdr:col>
      <xdr:colOff>853807</xdr:colOff>
      <xdr:row>108</xdr:row>
      <xdr:rowOff>64269</xdr:rowOff>
    </xdr:to>
    <xdr:pic>
      <xdr:nvPicPr>
        <xdr:cNvPr id="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721995" cy="30239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124</xdr:col>
      <xdr:colOff>853807</xdr:colOff>
      <xdr:row>107</xdr:row>
      <xdr:rowOff>29540</xdr:rowOff>
    </xdr:to>
    <xdr:pic>
      <xdr:nvPicPr>
        <xdr:cNvPr id="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721995" cy="295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124</xdr:col>
      <xdr:colOff>411480</xdr:colOff>
      <xdr:row>107</xdr:row>
      <xdr:rowOff>205739</xdr:rowOff>
    </xdr:to>
    <xdr:pic>
      <xdr:nvPicPr>
        <xdr:cNvPr id="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304800" cy="20573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124</xdr:col>
      <xdr:colOff>853807</xdr:colOff>
      <xdr:row>107</xdr:row>
      <xdr:rowOff>14300</xdr:rowOff>
    </xdr:to>
    <xdr:pic>
      <xdr:nvPicPr>
        <xdr:cNvPr id="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721995" cy="143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124</xdr:col>
      <xdr:colOff>411480</xdr:colOff>
      <xdr:row>107</xdr:row>
      <xdr:rowOff>205739</xdr:rowOff>
    </xdr:to>
    <xdr:pic>
      <xdr:nvPicPr>
        <xdr:cNvPr id="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304800" cy="20573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124</xdr:col>
      <xdr:colOff>853807</xdr:colOff>
      <xdr:row>107</xdr:row>
      <xdr:rowOff>12392</xdr:rowOff>
    </xdr:to>
    <xdr:pic>
      <xdr:nvPicPr>
        <xdr:cNvPr id="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721995" cy="1239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124</xdr:col>
      <xdr:colOff>853807</xdr:colOff>
      <xdr:row>107</xdr:row>
      <xdr:rowOff>21919</xdr:rowOff>
    </xdr:to>
    <xdr:pic>
      <xdr:nvPicPr>
        <xdr:cNvPr id="5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721995" cy="219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678180</xdr:rowOff>
    </xdr:from>
    <xdr:to>
      <xdr:col>124</xdr:col>
      <xdr:colOff>853807</xdr:colOff>
      <xdr:row>108</xdr:row>
      <xdr:rowOff>15241</xdr:rowOff>
    </xdr:to>
    <xdr:pic>
      <xdr:nvPicPr>
        <xdr:cNvPr id="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3211830"/>
          <a:ext cx="721995" cy="1333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107</xdr:row>
      <xdr:rowOff>0</xdr:rowOff>
    </xdr:from>
    <xdr:to>
      <xdr:col>126</xdr:col>
      <xdr:colOff>0</xdr:colOff>
      <xdr:row>107</xdr:row>
      <xdr:rowOff>14299</xdr:rowOff>
    </xdr:to>
    <xdr:pic>
      <xdr:nvPicPr>
        <xdr:cNvPr id="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8015405" y="2971800"/>
          <a:ext cx="721995" cy="142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125</xdr:col>
      <xdr:colOff>114300</xdr:colOff>
      <xdr:row>107</xdr:row>
      <xdr:rowOff>16203</xdr:rowOff>
    </xdr:to>
    <xdr:pic>
      <xdr:nvPicPr>
        <xdr:cNvPr id="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836296" cy="1620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125</xdr:col>
      <xdr:colOff>114300</xdr:colOff>
      <xdr:row>107</xdr:row>
      <xdr:rowOff>29539</xdr:rowOff>
    </xdr:to>
    <xdr:pic>
      <xdr:nvPicPr>
        <xdr:cNvPr id="5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836296" cy="2953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124</xdr:col>
      <xdr:colOff>411480</xdr:colOff>
      <xdr:row>108</xdr:row>
      <xdr:rowOff>117834</xdr:rowOff>
    </xdr:to>
    <xdr:pic>
      <xdr:nvPicPr>
        <xdr:cNvPr id="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304800" cy="35595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125</xdr:col>
      <xdr:colOff>114300</xdr:colOff>
      <xdr:row>107</xdr:row>
      <xdr:rowOff>14299</xdr:rowOff>
    </xdr:to>
    <xdr:pic>
      <xdr:nvPicPr>
        <xdr:cNvPr id="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836296" cy="142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124</xdr:col>
      <xdr:colOff>411480</xdr:colOff>
      <xdr:row>108</xdr:row>
      <xdr:rowOff>76199</xdr:rowOff>
    </xdr:to>
    <xdr:pic>
      <xdr:nvPicPr>
        <xdr:cNvPr id="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304800" cy="3143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125</xdr:col>
      <xdr:colOff>114300</xdr:colOff>
      <xdr:row>107</xdr:row>
      <xdr:rowOff>12393</xdr:rowOff>
    </xdr:to>
    <xdr:pic>
      <xdr:nvPicPr>
        <xdr:cNvPr id="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836296" cy="1239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0</xdr:rowOff>
    </xdr:from>
    <xdr:to>
      <xdr:col>125</xdr:col>
      <xdr:colOff>114300</xdr:colOff>
      <xdr:row>107</xdr:row>
      <xdr:rowOff>21920</xdr:rowOff>
    </xdr:to>
    <xdr:pic>
      <xdr:nvPicPr>
        <xdr:cNvPr id="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971800"/>
          <a:ext cx="836296" cy="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678180</xdr:rowOff>
    </xdr:from>
    <xdr:to>
      <xdr:col>125</xdr:col>
      <xdr:colOff>114300</xdr:colOff>
      <xdr:row>108</xdr:row>
      <xdr:rowOff>15240</xdr:rowOff>
    </xdr:to>
    <xdr:pic>
      <xdr:nvPicPr>
        <xdr:cNvPr id="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3211830"/>
          <a:ext cx="836296" cy="1333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107</xdr:row>
      <xdr:rowOff>0</xdr:rowOff>
    </xdr:from>
    <xdr:to>
      <xdr:col>126</xdr:col>
      <xdr:colOff>129540</xdr:colOff>
      <xdr:row>107</xdr:row>
      <xdr:rowOff>14299</xdr:rowOff>
    </xdr:to>
    <xdr:pic>
      <xdr:nvPicPr>
        <xdr:cNvPr id="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8015405" y="2971800"/>
          <a:ext cx="851535" cy="142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13</xdr:row>
      <xdr:rowOff>678180</xdr:rowOff>
    </xdr:from>
    <xdr:to>
      <xdr:col>124</xdr:col>
      <xdr:colOff>853807</xdr:colOff>
      <xdr:row>15</xdr:row>
      <xdr:rowOff>98651</xdr:rowOff>
    </xdr:to>
    <xdr:pic>
      <xdr:nvPicPr>
        <xdr:cNvPr id="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721995" cy="30629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23</xdr:row>
      <xdr:rowOff>662940</xdr:rowOff>
    </xdr:from>
    <xdr:to>
      <xdr:col>124</xdr:col>
      <xdr:colOff>853807</xdr:colOff>
      <xdr:row>24</xdr:row>
      <xdr:rowOff>25730</xdr:rowOff>
    </xdr:to>
    <xdr:pic>
      <xdr:nvPicPr>
        <xdr:cNvPr id="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721995" cy="295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37</xdr:row>
      <xdr:rowOff>0</xdr:rowOff>
    </xdr:from>
    <xdr:to>
      <xdr:col>124</xdr:col>
      <xdr:colOff>411480</xdr:colOff>
      <xdr:row>37</xdr:row>
      <xdr:rowOff>205739</xdr:rowOff>
    </xdr:to>
    <xdr:pic>
      <xdr:nvPicPr>
        <xdr:cNvPr id="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304800" cy="20573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47</xdr:row>
      <xdr:rowOff>662940</xdr:rowOff>
    </xdr:from>
    <xdr:to>
      <xdr:col>124</xdr:col>
      <xdr:colOff>853807</xdr:colOff>
      <xdr:row>48</xdr:row>
      <xdr:rowOff>10490</xdr:rowOff>
    </xdr:to>
    <xdr:pic>
      <xdr:nvPicPr>
        <xdr:cNvPr id="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721995" cy="143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82</xdr:row>
      <xdr:rowOff>0</xdr:rowOff>
    </xdr:from>
    <xdr:to>
      <xdr:col>124</xdr:col>
      <xdr:colOff>411480</xdr:colOff>
      <xdr:row>82</xdr:row>
      <xdr:rowOff>205739</xdr:rowOff>
    </xdr:to>
    <xdr:pic>
      <xdr:nvPicPr>
        <xdr:cNvPr id="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304800" cy="20573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85</xdr:row>
      <xdr:rowOff>655320</xdr:rowOff>
    </xdr:from>
    <xdr:to>
      <xdr:col>124</xdr:col>
      <xdr:colOff>853807</xdr:colOff>
      <xdr:row>86</xdr:row>
      <xdr:rowOff>10488</xdr:rowOff>
    </xdr:to>
    <xdr:pic>
      <xdr:nvPicPr>
        <xdr:cNvPr id="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721995" cy="1239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101</xdr:row>
      <xdr:rowOff>662940</xdr:rowOff>
    </xdr:from>
    <xdr:to>
      <xdr:col>124</xdr:col>
      <xdr:colOff>853807</xdr:colOff>
      <xdr:row>102</xdr:row>
      <xdr:rowOff>18109</xdr:rowOff>
    </xdr:to>
    <xdr:pic>
      <xdr:nvPicPr>
        <xdr:cNvPr id="7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721995" cy="219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678180</xdr:rowOff>
    </xdr:from>
    <xdr:to>
      <xdr:col>124</xdr:col>
      <xdr:colOff>853807</xdr:colOff>
      <xdr:row>108</xdr:row>
      <xdr:rowOff>18110</xdr:rowOff>
    </xdr:to>
    <xdr:pic>
      <xdr:nvPicPr>
        <xdr:cNvPr id="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721995" cy="1620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63</xdr:row>
      <xdr:rowOff>662940</xdr:rowOff>
    </xdr:from>
    <xdr:to>
      <xdr:col>126</xdr:col>
      <xdr:colOff>0</xdr:colOff>
      <xdr:row>64</xdr:row>
      <xdr:rowOff>10489</xdr:rowOff>
    </xdr:to>
    <xdr:pic>
      <xdr:nvPicPr>
        <xdr:cNvPr id="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8015405" y="2733675"/>
          <a:ext cx="721995" cy="142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13</xdr:row>
      <xdr:rowOff>678180</xdr:rowOff>
    </xdr:from>
    <xdr:to>
      <xdr:col>125</xdr:col>
      <xdr:colOff>114300</xdr:colOff>
      <xdr:row>14</xdr:row>
      <xdr:rowOff>18108</xdr:rowOff>
    </xdr:to>
    <xdr:pic>
      <xdr:nvPicPr>
        <xdr:cNvPr id="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836296" cy="1620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23</xdr:row>
      <xdr:rowOff>662940</xdr:rowOff>
    </xdr:from>
    <xdr:to>
      <xdr:col>125</xdr:col>
      <xdr:colOff>114300</xdr:colOff>
      <xdr:row>24</xdr:row>
      <xdr:rowOff>25729</xdr:rowOff>
    </xdr:to>
    <xdr:pic>
      <xdr:nvPicPr>
        <xdr:cNvPr id="7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836296" cy="2953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37</xdr:row>
      <xdr:rowOff>0</xdr:rowOff>
    </xdr:from>
    <xdr:to>
      <xdr:col>124</xdr:col>
      <xdr:colOff>411480</xdr:colOff>
      <xdr:row>38</xdr:row>
      <xdr:rowOff>121736</xdr:rowOff>
    </xdr:to>
    <xdr:pic>
      <xdr:nvPicPr>
        <xdr:cNvPr id="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304800" cy="35986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47</xdr:row>
      <xdr:rowOff>662940</xdr:rowOff>
    </xdr:from>
    <xdr:to>
      <xdr:col>125</xdr:col>
      <xdr:colOff>114300</xdr:colOff>
      <xdr:row>48</xdr:row>
      <xdr:rowOff>10489</xdr:rowOff>
    </xdr:to>
    <xdr:pic>
      <xdr:nvPicPr>
        <xdr:cNvPr id="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836296" cy="142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82</xdr:row>
      <xdr:rowOff>0</xdr:rowOff>
    </xdr:from>
    <xdr:to>
      <xdr:col>124</xdr:col>
      <xdr:colOff>411480</xdr:colOff>
      <xdr:row>83</xdr:row>
      <xdr:rowOff>99151</xdr:rowOff>
    </xdr:to>
    <xdr:pic>
      <xdr:nvPicPr>
        <xdr:cNvPr id="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304800" cy="31822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85</xdr:row>
      <xdr:rowOff>655320</xdr:rowOff>
    </xdr:from>
    <xdr:to>
      <xdr:col>125</xdr:col>
      <xdr:colOff>114300</xdr:colOff>
      <xdr:row>86</xdr:row>
      <xdr:rowOff>10489</xdr:rowOff>
    </xdr:to>
    <xdr:pic>
      <xdr:nvPicPr>
        <xdr:cNvPr id="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836296" cy="1239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101</xdr:row>
      <xdr:rowOff>662940</xdr:rowOff>
    </xdr:from>
    <xdr:to>
      <xdr:col>125</xdr:col>
      <xdr:colOff>114300</xdr:colOff>
      <xdr:row>102</xdr:row>
      <xdr:rowOff>18110</xdr:rowOff>
    </xdr:to>
    <xdr:pic>
      <xdr:nvPicPr>
        <xdr:cNvPr id="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836296" cy="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678180</xdr:rowOff>
    </xdr:from>
    <xdr:to>
      <xdr:col>125</xdr:col>
      <xdr:colOff>114300</xdr:colOff>
      <xdr:row>108</xdr:row>
      <xdr:rowOff>18109</xdr:rowOff>
    </xdr:to>
    <xdr:pic>
      <xdr:nvPicPr>
        <xdr:cNvPr id="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33675"/>
          <a:ext cx="836296" cy="1620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63</xdr:row>
      <xdr:rowOff>662940</xdr:rowOff>
    </xdr:from>
    <xdr:to>
      <xdr:col>126</xdr:col>
      <xdr:colOff>129540</xdr:colOff>
      <xdr:row>64</xdr:row>
      <xdr:rowOff>10489</xdr:rowOff>
    </xdr:to>
    <xdr:pic>
      <xdr:nvPicPr>
        <xdr:cNvPr id="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8015405" y="2733675"/>
          <a:ext cx="851535" cy="142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104775</xdr:colOff>
      <xdr:row>170</xdr:row>
      <xdr:rowOff>0</xdr:rowOff>
    </xdr:from>
    <xdr:to>
      <xdr:col>125</xdr:col>
      <xdr:colOff>409575</xdr:colOff>
      <xdr:row>170</xdr:row>
      <xdr:rowOff>209550</xdr:rowOff>
    </xdr:to>
    <xdr:pic>
      <xdr:nvPicPr>
        <xdr:cNvPr id="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-10000"/>
        </a:blip>
        <a:srcRect/>
        <a:stretch>
          <a:fillRect/>
        </a:stretch>
      </xdr:blipFill>
      <xdr:spPr bwMode="auto">
        <a:xfrm>
          <a:off x="108013500" y="46262925"/>
          <a:ext cx="304800" cy="209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104775</xdr:colOff>
      <xdr:row>170</xdr:row>
      <xdr:rowOff>0</xdr:rowOff>
    </xdr:from>
    <xdr:to>
      <xdr:col>125</xdr:col>
      <xdr:colOff>409575</xdr:colOff>
      <xdr:row>171</xdr:row>
      <xdr:rowOff>114299</xdr:rowOff>
    </xdr:to>
    <xdr:pic>
      <xdr:nvPicPr>
        <xdr:cNvPr id="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-10000"/>
        </a:blip>
        <a:srcRect/>
        <a:stretch>
          <a:fillRect/>
        </a:stretch>
      </xdr:blipFill>
      <xdr:spPr bwMode="auto">
        <a:xfrm>
          <a:off x="108013500" y="46262925"/>
          <a:ext cx="304800" cy="3524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13</xdr:row>
      <xdr:rowOff>678180</xdr:rowOff>
    </xdr:from>
    <xdr:to>
      <xdr:col>124</xdr:col>
      <xdr:colOff>853807</xdr:colOff>
      <xdr:row>15</xdr:row>
      <xdr:rowOff>90728</xdr:rowOff>
    </xdr:to>
    <xdr:pic>
      <xdr:nvPicPr>
        <xdr:cNvPr id="8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721995" cy="29837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23</xdr:row>
      <xdr:rowOff>662940</xdr:rowOff>
    </xdr:from>
    <xdr:to>
      <xdr:col>124</xdr:col>
      <xdr:colOff>853807</xdr:colOff>
      <xdr:row>24</xdr:row>
      <xdr:rowOff>25730</xdr:rowOff>
    </xdr:to>
    <xdr:pic>
      <xdr:nvPicPr>
        <xdr:cNvPr id="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721995" cy="295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37</xdr:row>
      <xdr:rowOff>0</xdr:rowOff>
    </xdr:from>
    <xdr:to>
      <xdr:col>124</xdr:col>
      <xdr:colOff>411480</xdr:colOff>
      <xdr:row>37</xdr:row>
      <xdr:rowOff>205739</xdr:rowOff>
    </xdr:to>
    <xdr:pic>
      <xdr:nvPicPr>
        <xdr:cNvPr id="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304800" cy="20573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47</xdr:row>
      <xdr:rowOff>662940</xdr:rowOff>
    </xdr:from>
    <xdr:to>
      <xdr:col>124</xdr:col>
      <xdr:colOff>853807</xdr:colOff>
      <xdr:row>48</xdr:row>
      <xdr:rowOff>10490</xdr:rowOff>
    </xdr:to>
    <xdr:pic>
      <xdr:nvPicPr>
        <xdr:cNvPr id="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721995" cy="143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82</xdr:row>
      <xdr:rowOff>0</xdr:rowOff>
    </xdr:from>
    <xdr:to>
      <xdr:col>124</xdr:col>
      <xdr:colOff>411480</xdr:colOff>
      <xdr:row>82</xdr:row>
      <xdr:rowOff>205739</xdr:rowOff>
    </xdr:to>
    <xdr:pic>
      <xdr:nvPicPr>
        <xdr:cNvPr id="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304800" cy="20573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85</xdr:row>
      <xdr:rowOff>655320</xdr:rowOff>
    </xdr:from>
    <xdr:to>
      <xdr:col>124</xdr:col>
      <xdr:colOff>853807</xdr:colOff>
      <xdr:row>86</xdr:row>
      <xdr:rowOff>10488</xdr:rowOff>
    </xdr:to>
    <xdr:pic>
      <xdr:nvPicPr>
        <xdr:cNvPr id="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721995" cy="1239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101</xdr:row>
      <xdr:rowOff>662940</xdr:rowOff>
    </xdr:from>
    <xdr:to>
      <xdr:col>124</xdr:col>
      <xdr:colOff>853807</xdr:colOff>
      <xdr:row>102</xdr:row>
      <xdr:rowOff>18109</xdr:rowOff>
    </xdr:to>
    <xdr:pic>
      <xdr:nvPicPr>
        <xdr:cNvPr id="9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721995" cy="219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678180</xdr:rowOff>
    </xdr:from>
    <xdr:to>
      <xdr:col>124</xdr:col>
      <xdr:colOff>853807</xdr:colOff>
      <xdr:row>108</xdr:row>
      <xdr:rowOff>18110</xdr:rowOff>
    </xdr:to>
    <xdr:pic>
      <xdr:nvPicPr>
        <xdr:cNvPr id="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721995" cy="1620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170</xdr:row>
      <xdr:rowOff>0</xdr:rowOff>
    </xdr:from>
    <xdr:to>
      <xdr:col>125</xdr:col>
      <xdr:colOff>411480</xdr:colOff>
      <xdr:row>170</xdr:row>
      <xdr:rowOff>205740</xdr:rowOff>
    </xdr:to>
    <xdr:pic>
      <xdr:nvPicPr>
        <xdr:cNvPr id="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8015405" y="2809875"/>
          <a:ext cx="304800" cy="2057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63</xdr:row>
      <xdr:rowOff>662940</xdr:rowOff>
    </xdr:from>
    <xdr:to>
      <xdr:col>126</xdr:col>
      <xdr:colOff>0</xdr:colOff>
      <xdr:row>64</xdr:row>
      <xdr:rowOff>10489</xdr:rowOff>
    </xdr:to>
    <xdr:pic>
      <xdr:nvPicPr>
        <xdr:cNvPr id="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8015405" y="2809875"/>
          <a:ext cx="721995" cy="142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13</xdr:row>
      <xdr:rowOff>678180</xdr:rowOff>
    </xdr:from>
    <xdr:to>
      <xdr:col>125</xdr:col>
      <xdr:colOff>114300</xdr:colOff>
      <xdr:row>14</xdr:row>
      <xdr:rowOff>18108</xdr:rowOff>
    </xdr:to>
    <xdr:pic>
      <xdr:nvPicPr>
        <xdr:cNvPr id="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836296" cy="1620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23</xdr:row>
      <xdr:rowOff>662940</xdr:rowOff>
    </xdr:from>
    <xdr:to>
      <xdr:col>125</xdr:col>
      <xdr:colOff>114300</xdr:colOff>
      <xdr:row>24</xdr:row>
      <xdr:rowOff>25729</xdr:rowOff>
    </xdr:to>
    <xdr:pic>
      <xdr:nvPicPr>
        <xdr:cNvPr id="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836296" cy="2953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37</xdr:row>
      <xdr:rowOff>0</xdr:rowOff>
    </xdr:from>
    <xdr:to>
      <xdr:col>124</xdr:col>
      <xdr:colOff>411480</xdr:colOff>
      <xdr:row>38</xdr:row>
      <xdr:rowOff>117604</xdr:rowOff>
    </xdr:to>
    <xdr:pic>
      <xdr:nvPicPr>
        <xdr:cNvPr id="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304800" cy="35572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47</xdr:row>
      <xdr:rowOff>662940</xdr:rowOff>
    </xdr:from>
    <xdr:to>
      <xdr:col>125</xdr:col>
      <xdr:colOff>114300</xdr:colOff>
      <xdr:row>48</xdr:row>
      <xdr:rowOff>10489</xdr:rowOff>
    </xdr:to>
    <xdr:pic>
      <xdr:nvPicPr>
        <xdr:cNvPr id="1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836296" cy="142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82</xdr:row>
      <xdr:rowOff>0</xdr:rowOff>
    </xdr:from>
    <xdr:to>
      <xdr:col>124</xdr:col>
      <xdr:colOff>411480</xdr:colOff>
      <xdr:row>83</xdr:row>
      <xdr:rowOff>95019</xdr:rowOff>
    </xdr:to>
    <xdr:pic>
      <xdr:nvPicPr>
        <xdr:cNvPr id="1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304800" cy="31409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85</xdr:row>
      <xdr:rowOff>655320</xdr:rowOff>
    </xdr:from>
    <xdr:to>
      <xdr:col>125</xdr:col>
      <xdr:colOff>114300</xdr:colOff>
      <xdr:row>86</xdr:row>
      <xdr:rowOff>10489</xdr:rowOff>
    </xdr:to>
    <xdr:pic>
      <xdr:nvPicPr>
        <xdr:cNvPr id="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836296" cy="1239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101</xdr:row>
      <xdr:rowOff>662940</xdr:rowOff>
    </xdr:from>
    <xdr:to>
      <xdr:col>125</xdr:col>
      <xdr:colOff>114300</xdr:colOff>
      <xdr:row>102</xdr:row>
      <xdr:rowOff>18110</xdr:rowOff>
    </xdr:to>
    <xdr:pic>
      <xdr:nvPicPr>
        <xdr:cNvPr id="1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836296" cy="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107</xdr:row>
      <xdr:rowOff>678180</xdr:rowOff>
    </xdr:from>
    <xdr:to>
      <xdr:col>125</xdr:col>
      <xdr:colOff>114300</xdr:colOff>
      <xdr:row>108</xdr:row>
      <xdr:rowOff>18109</xdr:rowOff>
    </xdr:to>
    <xdr:pic>
      <xdr:nvPicPr>
        <xdr:cNvPr id="1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809875"/>
          <a:ext cx="836296" cy="1620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170</xdr:row>
      <xdr:rowOff>0</xdr:rowOff>
    </xdr:from>
    <xdr:to>
      <xdr:col>125</xdr:col>
      <xdr:colOff>411480</xdr:colOff>
      <xdr:row>171</xdr:row>
      <xdr:rowOff>114069</xdr:rowOff>
    </xdr:to>
    <xdr:pic>
      <xdr:nvPicPr>
        <xdr:cNvPr id="10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8015405" y="2809875"/>
          <a:ext cx="304800" cy="35219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63</xdr:row>
      <xdr:rowOff>662940</xdr:rowOff>
    </xdr:from>
    <xdr:to>
      <xdr:col>126</xdr:col>
      <xdr:colOff>129540</xdr:colOff>
      <xdr:row>64</xdr:row>
      <xdr:rowOff>10489</xdr:rowOff>
    </xdr:to>
    <xdr:pic>
      <xdr:nvPicPr>
        <xdr:cNvPr id="1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8015405" y="2809875"/>
          <a:ext cx="851535" cy="1429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125</xdr:col>
      <xdr:colOff>123825</xdr:colOff>
      <xdr:row>198</xdr:row>
      <xdr:rowOff>152400</xdr:rowOff>
    </xdr:from>
    <xdr:to>
      <xdr:col>125</xdr:col>
      <xdr:colOff>381000</xdr:colOff>
      <xdr:row>199</xdr:row>
      <xdr:rowOff>200025</xdr:rowOff>
    </xdr:to>
    <xdr:pic>
      <xdr:nvPicPr>
        <xdr:cNvPr id="10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32550" y="2705100"/>
          <a:ext cx="257175" cy="2000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120</xdr:col>
      <xdr:colOff>123825</xdr:colOff>
      <xdr:row>210</xdr:row>
      <xdr:rowOff>161925</xdr:rowOff>
    </xdr:from>
    <xdr:to>
      <xdr:col>120</xdr:col>
      <xdr:colOff>419100</xdr:colOff>
      <xdr:row>211</xdr:row>
      <xdr:rowOff>200025</xdr:rowOff>
    </xdr:to>
    <xdr:pic>
      <xdr:nvPicPr>
        <xdr:cNvPr id="10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89175" y="6019800"/>
          <a:ext cx="295275" cy="76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125</xdr:col>
      <xdr:colOff>123825</xdr:colOff>
      <xdr:row>198</xdr:row>
      <xdr:rowOff>152400</xdr:rowOff>
    </xdr:from>
    <xdr:to>
      <xdr:col>125</xdr:col>
      <xdr:colOff>381000</xdr:colOff>
      <xdr:row>200</xdr:row>
      <xdr:rowOff>66675</xdr:rowOff>
    </xdr:to>
    <xdr:pic>
      <xdr:nvPicPr>
        <xdr:cNvPr id="1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32550" y="2705100"/>
          <a:ext cx="257175" cy="2857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120</xdr:col>
      <xdr:colOff>123825</xdr:colOff>
      <xdr:row>210</xdr:row>
      <xdr:rowOff>161925</xdr:rowOff>
    </xdr:from>
    <xdr:to>
      <xdr:col>120</xdr:col>
      <xdr:colOff>419100</xdr:colOff>
      <xdr:row>212</xdr:row>
      <xdr:rowOff>85725</xdr:rowOff>
    </xdr:to>
    <xdr:pic>
      <xdr:nvPicPr>
        <xdr:cNvPr id="1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89175" y="6019800"/>
          <a:ext cx="295275" cy="76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125</xdr:col>
      <xdr:colOff>106680</xdr:colOff>
      <xdr:row>5</xdr:row>
      <xdr:rowOff>662940</xdr:rowOff>
    </xdr:from>
    <xdr:to>
      <xdr:col>126</xdr:col>
      <xdr:colOff>0</xdr:colOff>
      <xdr:row>6</xdr:row>
      <xdr:rowOff>6610</xdr:rowOff>
    </xdr:to>
    <xdr:pic>
      <xdr:nvPicPr>
        <xdr:cNvPr id="1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8015405" y="2729865"/>
          <a:ext cx="721995" cy="1143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5</xdr:row>
      <xdr:rowOff>662940</xdr:rowOff>
    </xdr:from>
    <xdr:to>
      <xdr:col>124</xdr:col>
      <xdr:colOff>853807</xdr:colOff>
      <xdr:row>6</xdr:row>
      <xdr:rowOff>6610</xdr:rowOff>
    </xdr:to>
    <xdr:pic>
      <xdr:nvPicPr>
        <xdr:cNvPr id="1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29865"/>
          <a:ext cx="721995" cy="1143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5</xdr:row>
      <xdr:rowOff>662940</xdr:rowOff>
    </xdr:from>
    <xdr:to>
      <xdr:col>125</xdr:col>
      <xdr:colOff>114300</xdr:colOff>
      <xdr:row>6</xdr:row>
      <xdr:rowOff>6610</xdr:rowOff>
    </xdr:to>
    <xdr:pic>
      <xdr:nvPicPr>
        <xdr:cNvPr id="1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2729865"/>
          <a:ext cx="836296" cy="1143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13</xdr:row>
      <xdr:rowOff>678180</xdr:rowOff>
    </xdr:from>
    <xdr:to>
      <xdr:col>124</xdr:col>
      <xdr:colOff>853807</xdr:colOff>
      <xdr:row>15</xdr:row>
      <xdr:rowOff>97733</xdr:rowOff>
    </xdr:to>
    <xdr:pic>
      <xdr:nvPicPr>
        <xdr:cNvPr id="1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4507230"/>
          <a:ext cx="721995" cy="305378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13</xdr:row>
      <xdr:rowOff>678180</xdr:rowOff>
    </xdr:from>
    <xdr:to>
      <xdr:col>125</xdr:col>
      <xdr:colOff>114300</xdr:colOff>
      <xdr:row>14</xdr:row>
      <xdr:rowOff>15239</xdr:rowOff>
    </xdr:to>
    <xdr:pic>
      <xdr:nvPicPr>
        <xdr:cNvPr id="1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107186730" y="4507230"/>
          <a:ext cx="836296" cy="1333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85</xdr:row>
      <xdr:rowOff>655320</xdr:rowOff>
    </xdr:from>
    <xdr:to>
      <xdr:col>124</xdr:col>
      <xdr:colOff>853807</xdr:colOff>
      <xdr:row>86</xdr:row>
      <xdr:rowOff>7619</xdr:rowOff>
    </xdr:to>
    <xdr:pic>
      <xdr:nvPicPr>
        <xdr:cNvPr id="1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-10000"/>
        </a:blip>
        <a:srcRect/>
        <a:stretch>
          <a:fillRect/>
        </a:stretch>
      </xdr:blipFill>
      <xdr:spPr bwMode="auto">
        <a:xfrm>
          <a:off x="110543340" y="24300180"/>
          <a:ext cx="746760" cy="7618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85</xdr:row>
      <xdr:rowOff>655320</xdr:rowOff>
    </xdr:from>
    <xdr:to>
      <xdr:col>125</xdr:col>
      <xdr:colOff>114300</xdr:colOff>
      <xdr:row>86</xdr:row>
      <xdr:rowOff>7620</xdr:rowOff>
    </xdr:to>
    <xdr:pic>
      <xdr:nvPicPr>
        <xdr:cNvPr id="1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" contrast="-10000"/>
        </a:blip>
        <a:srcRect/>
        <a:stretch>
          <a:fillRect/>
        </a:stretch>
      </xdr:blipFill>
      <xdr:spPr bwMode="auto">
        <a:xfrm>
          <a:off x="110543340" y="24300180"/>
          <a:ext cx="861061" cy="76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15</xdr:row>
      <xdr:rowOff>624840</xdr:rowOff>
    </xdr:from>
    <xdr:to>
      <xdr:col>124</xdr:col>
      <xdr:colOff>853807</xdr:colOff>
      <xdr:row>212</xdr:row>
      <xdr:rowOff>68581</xdr:rowOff>
    </xdr:to>
    <xdr:pic>
      <xdr:nvPicPr>
        <xdr:cNvPr id="1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83599020" y="3375660"/>
          <a:ext cx="746760" cy="2895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39</xdr:row>
      <xdr:rowOff>0</xdr:rowOff>
    </xdr:from>
    <xdr:to>
      <xdr:col>124</xdr:col>
      <xdr:colOff>419100</xdr:colOff>
      <xdr:row>212</xdr:row>
      <xdr:rowOff>114301</xdr:rowOff>
    </xdr:to>
    <xdr:pic>
      <xdr:nvPicPr>
        <xdr:cNvPr id="1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83599020" y="3375660"/>
          <a:ext cx="312420" cy="3352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124</xdr:col>
      <xdr:colOff>106680</xdr:colOff>
      <xdr:row>84</xdr:row>
      <xdr:rowOff>0</xdr:rowOff>
    </xdr:from>
    <xdr:to>
      <xdr:col>124</xdr:col>
      <xdr:colOff>419100</xdr:colOff>
      <xdr:row>212</xdr:row>
      <xdr:rowOff>76201</xdr:rowOff>
    </xdr:to>
    <xdr:pic>
      <xdr:nvPicPr>
        <xdr:cNvPr id="1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83599020" y="3375660"/>
          <a:ext cx="312420" cy="297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170</xdr:row>
      <xdr:rowOff>0</xdr:rowOff>
    </xdr:from>
    <xdr:to>
      <xdr:col>125</xdr:col>
      <xdr:colOff>419100</xdr:colOff>
      <xdr:row>212</xdr:row>
      <xdr:rowOff>114301</xdr:rowOff>
    </xdr:to>
    <xdr:pic>
      <xdr:nvPicPr>
        <xdr:cNvPr id="1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84452460" y="3375660"/>
          <a:ext cx="312420" cy="3352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125</xdr:col>
      <xdr:colOff>106680</xdr:colOff>
      <xdr:row>199</xdr:row>
      <xdr:rowOff>0</xdr:rowOff>
    </xdr:from>
    <xdr:to>
      <xdr:col>125</xdr:col>
      <xdr:colOff>396240</xdr:colOff>
      <xdr:row>212</xdr:row>
      <xdr:rowOff>76201</xdr:rowOff>
    </xdr:to>
    <xdr:pic>
      <xdr:nvPicPr>
        <xdr:cNvPr id="1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84452460" y="3375660"/>
          <a:ext cx="289560" cy="297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120</xdr:col>
      <xdr:colOff>106680</xdr:colOff>
      <xdr:row>211</xdr:row>
      <xdr:rowOff>0</xdr:rowOff>
    </xdr:from>
    <xdr:to>
      <xdr:col>120</xdr:col>
      <xdr:colOff>419100</xdr:colOff>
      <xdr:row>212</xdr:row>
      <xdr:rowOff>99061</xdr:rowOff>
    </xdr:to>
    <xdr:pic>
      <xdr:nvPicPr>
        <xdr:cNvPr id="1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-10000"/>
        </a:blip>
        <a:srcRect/>
        <a:stretch>
          <a:fillRect/>
        </a:stretch>
      </xdr:blipFill>
      <xdr:spPr bwMode="auto">
        <a:xfrm>
          <a:off x="80185260" y="3375660"/>
          <a:ext cx="312420" cy="3200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For%20All/&#1047;&#1072;&#1087;&#1088;&#1086;&#1089;%20&#1074;%20&#1052;&#1054;%2018.04..17/&#1054;&#1054;&#1059;,%20&#1044;&#1054;&#1059;%20&#1080;&#1079;&#1084;%20&#1084;&#1072;&#1081;%202017/&#1047;&#1072;&#1087;&#1088;&#1086;&#1089;%20&#1082;%20&#1073;&#1102;&#1076;&#1078;&#1077;&#1090;&#1091;%20&#1085;&#1072;%202016-17%20&#1075;&#1086;&#1076;&#1099;%20&#1054;&#1054;&#1059;,&#1044;&#1054;&#1059;/&#1044;&#1054;&#1059;,&#1054;&#1054;&#1059;%20&#1085;&#1072;%202017-%2020.06.2016/&#1040;%20&#1040;%20&#1054;&#1054;&#1059;%20&#1074;%20&#1084;&#1080;&#1085;&#1092;&#1080;&#1085;%202016%20&#1080;&#1079;&#1084;.%201%20&#1043;&#1086;&#1083;&#1091;&#1073;&#1077;&#1074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For%20All/&#1047;&#1072;&#1087;&#1088;&#1086;&#1089;%20&#1074;%20&#1052;&#1054;%2018.04..17/&#1054;&#1054;&#1059;,%20&#1044;&#1054;&#1059;%20&#1080;&#1079;&#1084;%20&#1084;&#1072;&#1081;%202017/&#1047;&#1072;&#1087;&#1088;&#1086;&#1089;%20&#1082;%20&#1073;&#1102;&#1076;&#1078;&#1077;&#1090;&#1091;%20&#1085;&#1072;%202016-17%20&#1075;&#1086;&#1076;&#1099;%20&#1054;&#1054;&#1059;,&#1044;&#1054;&#1059;/&#1044;&#1054;&#1059;,&#1054;&#1054;&#1059;%20&#1085;&#1072;%202017-%2020.06.2016/&#1075;&#1086;&#1088;&#1086;&#1076;%20&#1057;&#1072;&#1089;&#1086;&#1074;&#1086;%20&#1064;&#1050;&#1054;&#1051;&#1067;%20&#1087;&#1086;&#1089;&#1083;%2017.05.16%20(6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For%20All/&#1047;&#1072;&#1087;&#1088;&#1086;&#1089;%20&#1074;%20&#1052;&#1054;%2018.04..17/&#1054;&#1054;&#1059;,%20&#1044;&#1054;&#1059;%20&#1080;&#1079;&#1084;%20&#1084;&#1072;&#1081;%202017/&#1047;&#1072;&#1087;&#1088;&#1086;&#1089;%20&#1082;%20&#1073;&#1102;&#1076;&#1078;&#1077;&#1090;&#1091;%20&#1085;&#1072;%202016-17%20&#1075;&#1086;&#1076;&#1099;%20&#1054;&#1054;&#1059;,&#1044;&#1054;&#1059;/&#1044;&#1054;&#1059;,&#1054;&#1054;&#1059;%20&#1085;&#1072;%202017-%2020.06.2016/&#1075;&#1086;&#1088;&#1086;&#1076;%20&#1057;&#1082;&#1086;&#1087;&#1080;&#1085;%20&#1064;&#1050;&#1054;&#1051;&#1067;%20&#1087;&#1086;&#1089;&#1083;%2017.05.16%20(10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For%20All/&#1047;&#1072;&#1087;&#1088;&#1086;&#1089;%20&#1074;%20&#1052;&#1054;%2018.04..17/&#1054;&#1054;&#1059;,%20&#1044;&#1054;&#1059;%20&#1080;&#1079;&#1084;%20&#1084;&#1072;&#1081;%202017/&#1047;&#1072;&#1087;&#1088;&#1086;&#1089;%20&#1082;%20&#1073;&#1102;&#1076;&#1078;&#1077;&#1090;&#1091;%20&#1085;&#1072;%202016-17%20&#1075;&#1086;&#1076;&#1099;%20&#1054;&#1054;&#1059;,&#1044;&#1054;&#1059;/&#1044;&#1054;&#1059;,&#1054;&#1054;&#1059;%20&#1085;&#1072;%202017-%2020.06.2016/&#1050;&#1083;&#1077;&#1087;&#1080;&#1082;&#1086;&#1074;&#1089;&#1082;&#1080;&#1081;%20&#1064;&#1050;&#1054;&#1051;&#1067;%20&#1087;&#1086;&#1089;&#1083;%2017.05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AppData/Roaming/Microsoft/Excel/&#1063;&#1054;&#1054;&#1059;%20&#1095;&#1072;&#1089;&#1090;&#1085;&#1099;&#1077;%20&#1096;&#1082;&#1086;&#1083;&#1099;%202016%20&#1080;&#1079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For%20All/&#1047;&#1072;&#1087;&#1088;&#1086;&#1089;%20&#1074;%20&#1052;&#1054;%2018.04..17/&#1054;&#1054;&#1059;,%20&#1044;&#1054;&#1059;%20&#1080;&#1079;&#1084;%20&#1084;&#1072;&#1081;%202017/&#1047;&#1072;&#1087;&#1088;&#1086;&#1089;%20&#1082;%20&#1073;&#1102;&#1076;&#1078;&#1077;&#1090;&#1091;%20&#1085;&#1072;%202016-17%20&#1075;&#1086;&#1076;&#1099;%20&#1054;&#1054;&#1059;,&#1044;&#1054;&#1059;/&#1044;&#1054;&#1059;,&#1054;&#1054;&#1059;%20&#1085;&#1072;%202017-%2020.06.2016/&#1050;&#1072;&#1089;&#1080;&#1084;&#1086;&#1074;&#1089;&#1082;&#1080;&#1081;%20&#1064;&#1050;&#1054;&#1051;&#1067;%20&#1087;&#1086;&#1089;&#1083;%2017.05.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For%20All/&#1047;&#1072;&#1087;&#1088;&#1086;&#1089;%20&#1074;%20&#1052;&#1054;%2018.04..17/&#1054;&#1054;&#1059;,%20&#1044;&#1054;&#1059;%20&#1080;&#1079;&#1084;%20&#1084;&#1072;&#1081;%202017/&#1047;&#1072;&#1087;&#1088;&#1086;&#1089;%20&#1082;%20&#1073;&#1102;&#1076;&#1078;&#1077;&#1090;&#1091;%20&#1085;&#1072;%202016-17%20&#1075;&#1086;&#1076;&#1099;%20&#1054;&#1054;&#1059;,&#1044;&#1054;&#1059;/&#1044;&#1054;&#1059;,&#1054;&#1054;&#1059;%20&#1085;&#1072;%202017-%2020.06.2016/&#1055;&#1080;&#1090;&#1077;&#1083;&#1080;&#1085;&#1089;&#1082;&#1080;&#1081;%20&#1064;&#1050;&#1054;&#1051;&#1067;%20&#1087;&#1086;&#1089;&#1083;%2017.05.16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For%20All/&#1047;&#1072;&#1087;&#1088;&#1086;&#1089;%20&#1074;%20&#1052;&#1054;%2018.04..17/&#1054;&#1054;&#1059;,%20&#1044;&#1054;&#1059;%20&#1080;&#1079;&#1084;%20&#1084;&#1072;&#1081;%202017/&#1047;&#1072;&#1087;&#1088;&#1086;&#1089;%20&#1082;%20&#1073;&#1102;&#1076;&#1078;&#1077;&#1090;&#1091;%20&#1085;&#1072;%202016-17%20&#1075;&#1086;&#1076;&#1099;%20&#1054;&#1054;&#1059;,&#1044;&#1054;&#1059;/&#1044;&#1054;&#1059;,&#1054;&#1054;&#1059;%20&#1085;&#1072;%202017-%2020.06.2016/&#1056;&#1103;&#1078;&#1089;&#1082;&#1080;&#1081;%20&#1064;&#1050;&#1054;&#1051;&#1067;%20&#1087;&#1086;&#1089;&#1083;%2017.05.16%20(1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For%20All/&#1047;&#1072;&#1087;&#1088;&#1086;&#1089;%20&#1074;%20&#1052;&#1054;%2018.04..17/&#1054;&#1054;&#1059;,%20&#1044;&#1054;&#1059;%20&#1080;&#1079;&#1084;%20&#1084;&#1072;&#1081;%202017/&#1047;&#1072;&#1087;&#1088;&#1086;&#1089;%20&#1082;%20&#1073;&#1102;&#1076;&#1078;&#1077;&#1090;&#1091;%20&#1085;&#1072;%202016-17%20&#1075;&#1086;&#1076;&#1099;%20&#1054;&#1054;&#1059;,&#1044;&#1054;&#1059;/&#1044;&#1054;&#1059;,&#1054;&#1054;&#1059;%20&#1085;&#1072;%202017-%2020.06.2016/&#1056;&#1103;&#1079;&#1072;&#1085;&#1089;&#1082;&#1080;&#1081;%20&#1064;&#1050;&#1054;&#1051;&#1067;%20(&#1076;&#1083;&#1103;%20&#1086;&#1090;&#1087;&#1088;&#1072;&#1074;&#1082;&#1080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For%20All/&#1047;&#1072;&#1087;&#1088;&#1086;&#1089;%20&#1074;%20&#1052;&#1054;%2018.04..17/&#1054;&#1054;&#1059;,%20&#1044;&#1054;&#1059;%20&#1080;&#1079;&#1084;%20&#1084;&#1072;&#1081;%202017/&#1047;&#1072;&#1087;&#1088;&#1086;&#1089;%20&#1082;%20&#1073;&#1102;&#1076;&#1078;&#1077;&#1090;&#1091;%20&#1085;&#1072;%202016-17%20&#1075;&#1086;&#1076;&#1099;%20&#1054;&#1054;&#1059;,&#1044;&#1054;&#1059;/&#1044;&#1054;&#1059;,&#1054;&#1054;&#1059;%20&#1085;&#1072;%202017-%2020.06.2016/&#1057;&#1072;&#1089;&#1086;&#1074;&#1089;&#1082;&#1080;&#1081;%20&#1095;&#1080;&#1089;&#1083;.&#1080;%20&#1092;&#1086;&#1090;%202017&#1075;&#1086;&#10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For%20All/&#1047;&#1072;&#1087;&#1088;&#1086;&#1089;%20&#1074;%20&#1052;&#1054;%2018.04..17/&#1054;&#1054;&#1059;,%20&#1044;&#1054;&#1059;%20&#1080;&#1079;&#1084;%20&#1084;&#1072;&#1081;%202017/&#1047;&#1072;&#1087;&#1088;&#1086;&#1089;%20&#1082;%20&#1073;&#1102;&#1076;&#1078;&#1077;&#1090;&#1091;%20&#1085;&#1072;%202016-17%20&#1075;&#1086;&#1076;&#1099;%20&#1054;&#1054;&#1059;,&#1044;&#1054;&#1059;/&#1044;&#1054;&#1059;,&#1054;&#1054;&#1059;%20&#1085;&#1072;%202017-%2020.06.2016/&#1064;&#1080;&#1083;&#1086;&#1074;&#1089;&#1082;&#1080;&#1081;%20&#1064;&#1050;&#1054;&#1051;&#1067;%20&#1087;&#1086;&#1089;&#1083;%2017.05.16%20(1)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For%20All/&#1047;&#1072;&#1087;&#1088;&#1086;&#1089;%20&#1074;%20&#1052;&#1054;%2018.04..17/&#1054;&#1054;&#1059;,%20&#1044;&#1054;&#1059;%20&#1080;&#1079;&#1084;%20&#1084;&#1072;&#1081;%202017/&#1047;&#1072;&#1087;&#1088;&#1086;&#1089;%20&#1082;%20&#1073;&#1102;&#1076;&#1078;&#1077;&#1090;&#1091;%20&#1085;&#1072;%202016-17%20&#1075;&#1086;&#1076;&#1099;%20&#1054;&#1054;&#1059;,&#1044;&#1054;&#1059;/&#1044;&#1054;&#1059;,&#1054;&#1054;&#1059;%20&#1085;&#1072;%202017-%2020.06.2016/&#1075;&#1086;&#1088;&#1086;&#1076;%20&#1050;&#1072;&#1089;&#1080;&#1084;&#1086;&#1074;%20&#1064;&#1050;&#1054;&#1051;&#1067;%20&#1087;&#1086;&#1089;&#1083;%2017.05.16.xls%202016&#1075;.xls&#1074;&#1072;&#1088;&#1080;&#1072;&#1085;&#1090;%203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ив"/>
      <sheetName val="Методика 2016"/>
      <sheetName val="Числ изм на 2016год"/>
      <sheetName val="ФОТ 2016 29.02.16"/>
      <sheetName val="Расчеты р-ов"/>
      <sheetName val="Мои расчеты"/>
      <sheetName val="Свод ФОТ 2016"/>
      <sheetName val="Свод малок 2016"/>
      <sheetName val="ФОТ общ"/>
      <sheetName val="Малоком 2016"/>
      <sheetName val="ФОНДЫ на 22.6"/>
      <sheetName val="ФОТ 2015 из свода "/>
      <sheetName val="Малок как было"/>
      <sheetName val="К-т"/>
      <sheetName val="Частные численность 2015"/>
      <sheetName val="Частн органы"/>
      <sheetName val="Частн. всего"/>
    </sheetNames>
    <sheetDataSet>
      <sheetData sheetId="0" refreshError="1"/>
      <sheetData sheetId="1" refreshError="1"/>
      <sheetData sheetId="2" refreshError="1"/>
      <sheetData sheetId="3" refreshError="1">
        <row r="17">
          <cell r="C17">
            <v>448</v>
          </cell>
        </row>
        <row r="28">
          <cell r="C28">
            <v>229</v>
          </cell>
        </row>
        <row r="36">
          <cell r="C36">
            <v>952</v>
          </cell>
        </row>
        <row r="46">
          <cell r="C46">
            <v>79</v>
          </cell>
        </row>
        <row r="61">
          <cell r="C61">
            <v>1160</v>
          </cell>
        </row>
        <row r="75">
          <cell r="C75">
            <v>695</v>
          </cell>
        </row>
        <row r="90">
          <cell r="C90">
            <v>469</v>
          </cell>
        </row>
        <row r="105">
          <cell r="C105">
            <v>691</v>
          </cell>
        </row>
        <row r="125">
          <cell r="C125">
            <v>705</v>
          </cell>
        </row>
        <row r="134">
          <cell r="C134">
            <v>89</v>
          </cell>
        </row>
        <row r="148">
          <cell r="C148">
            <v>473</v>
          </cell>
        </row>
        <row r="157">
          <cell r="C157">
            <v>678</v>
          </cell>
        </row>
        <row r="178">
          <cell r="C178">
            <v>1207</v>
          </cell>
        </row>
        <row r="207">
          <cell r="C207">
            <v>4267</v>
          </cell>
        </row>
        <row r="216">
          <cell r="C216">
            <v>175</v>
          </cell>
        </row>
        <row r="232">
          <cell r="C232">
            <v>805</v>
          </cell>
        </row>
        <row r="246">
          <cell r="C246">
            <v>1106</v>
          </cell>
        </row>
        <row r="260">
          <cell r="C260">
            <v>1457</v>
          </cell>
        </row>
        <row r="278">
          <cell r="C278">
            <v>1071</v>
          </cell>
        </row>
        <row r="289">
          <cell r="C289">
            <v>877</v>
          </cell>
        </row>
        <row r="300">
          <cell r="C300">
            <v>295</v>
          </cell>
        </row>
        <row r="310">
          <cell r="C310">
            <v>292</v>
          </cell>
        </row>
        <row r="323">
          <cell r="C323">
            <v>1027</v>
          </cell>
        </row>
        <row r="340">
          <cell r="C340">
            <v>915</v>
          </cell>
        </row>
        <row r="382">
          <cell r="C382">
            <v>183</v>
          </cell>
        </row>
      </sheetData>
      <sheetData sheetId="4" refreshError="1"/>
      <sheetData sheetId="5" refreshError="1"/>
      <sheetData sheetId="6" refreshError="1">
        <row r="25">
          <cell r="BY25">
            <v>1109792</v>
          </cell>
        </row>
        <row r="34">
          <cell r="BY34">
            <v>778800</v>
          </cell>
        </row>
        <row r="41">
          <cell r="BY41">
            <v>2322516</v>
          </cell>
        </row>
        <row r="50">
          <cell r="BY50">
            <v>275660.37</v>
          </cell>
        </row>
        <row r="64">
          <cell r="BY64">
            <v>2991240</v>
          </cell>
        </row>
        <row r="77">
          <cell r="BY77">
            <v>1608301.5</v>
          </cell>
        </row>
        <row r="91">
          <cell r="BY91">
            <v>1238562</v>
          </cell>
        </row>
        <row r="105">
          <cell r="BY105">
            <v>2323479.5999999996</v>
          </cell>
        </row>
        <row r="123">
          <cell r="BY123">
            <v>2201519.77</v>
          </cell>
        </row>
        <row r="131">
          <cell r="BY131">
            <v>285339.59999999998</v>
          </cell>
        </row>
        <row r="144">
          <cell r="BY144">
            <v>1253843</v>
          </cell>
        </row>
        <row r="152">
          <cell r="BY152">
            <v>5363000</v>
          </cell>
        </row>
        <row r="172">
          <cell r="BY172">
            <v>3327205.5</v>
          </cell>
        </row>
        <row r="196">
          <cell r="BY196">
            <v>10449174</v>
          </cell>
        </row>
        <row r="204">
          <cell r="BY204">
            <v>393700</v>
          </cell>
        </row>
        <row r="217">
          <cell r="BY217">
            <v>1986876</v>
          </cell>
        </row>
        <row r="231">
          <cell r="BY231">
            <v>4332000</v>
          </cell>
        </row>
        <row r="244">
          <cell r="BY244">
            <v>3613600</v>
          </cell>
        </row>
        <row r="261">
          <cell r="BY261">
            <v>5592348.5999999996</v>
          </cell>
        </row>
        <row r="271">
          <cell r="BY271">
            <v>2383126.8200000003</v>
          </cell>
        </row>
        <row r="281">
          <cell r="BY281">
            <v>719460</v>
          </cell>
        </row>
        <row r="290">
          <cell r="BY290">
            <v>708527.56</v>
          </cell>
        </row>
        <row r="302">
          <cell r="BY302">
            <v>2613837</v>
          </cell>
        </row>
        <row r="318">
          <cell r="BY318">
            <v>2377905</v>
          </cell>
        </row>
        <row r="402">
          <cell r="BY402">
            <v>2088500</v>
          </cell>
        </row>
        <row r="421">
          <cell r="BY421">
            <v>478179</v>
          </cell>
        </row>
      </sheetData>
      <sheetData sheetId="7" refreshError="1">
        <row r="176">
          <cell r="P176">
            <v>437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арт 2015"/>
      <sheetName val="Фонды2015-2017"/>
      <sheetName val="Численность и ФОТ"/>
      <sheetName val="Численность 2016"/>
      <sheetName val="Численность2017"/>
      <sheetName val="Инф. по реорган. учрежд"/>
      <sheetName val="Частные школы 2016"/>
      <sheetName val="Частные школы 2017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арт 2015"/>
      <sheetName val="Фонды2015-2017"/>
      <sheetName val="Численность и ФОТ"/>
      <sheetName val="Численность 2016"/>
      <sheetName val="Численность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арт 2015"/>
      <sheetName val="Фонды2015-2017"/>
      <sheetName val="Численность и ФОТ"/>
      <sheetName val="Численность 2016"/>
      <sheetName val="Численность2017"/>
      <sheetName val="Инф. по реорган. учрежд"/>
      <sheetName val="Частные школы 2016"/>
      <sheetName val="Частные школы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2">
          <cell r="AV42">
            <v>35192700</v>
          </cell>
        </row>
        <row r="46">
          <cell r="AV46">
            <v>24954600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.1"/>
      <sheetName val="21.2.2"/>
      <sheetName val="21.2.3"/>
    </sheetNames>
    <sheetDataSet>
      <sheetData sheetId="0">
        <row r="8">
          <cell r="E8">
            <v>20697833.600000001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арт 2015"/>
      <sheetName val="Фонды2015-2017"/>
      <sheetName val="Численность и ФОТ"/>
      <sheetName val="Численность 2016"/>
      <sheetName val="Численность2017"/>
      <sheetName val="Инф. по реорган. учрежд"/>
      <sheetName val="Частные школы 2016"/>
      <sheetName val="Частные школы 2017"/>
    </sheetNames>
    <sheetDataSet>
      <sheetData sheetId="0" refreshError="1">
        <row r="72">
          <cell r="G7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арт 2015"/>
      <sheetName val="Фонды2015-2017"/>
      <sheetName val="Численность и ФОТ"/>
      <sheetName val="Численность 2016"/>
      <sheetName val="Численность2017"/>
      <sheetName val="Инф. по реорган. учрежд"/>
      <sheetName val="Частные школы 2016"/>
      <sheetName val="Частные школы 2017"/>
    </sheetNames>
    <sheetDataSet>
      <sheetData sheetId="0" refreshError="1">
        <row r="114">
          <cell r="G114">
            <v>0</v>
          </cell>
        </row>
        <row r="118">
          <cell r="G11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арт 2015"/>
      <sheetName val="Фонды2015-2017"/>
      <sheetName val="Численность и ФОТ"/>
      <sheetName val="Численность 2016"/>
      <sheetName val="Численность2017"/>
      <sheetName val="Инф. по реорган. учрежд"/>
      <sheetName val="Частные школы 2016"/>
      <sheetName val="Частные школы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арт 2015"/>
      <sheetName val="Фонды2015-2017"/>
      <sheetName val="Численность и ФОТ"/>
      <sheetName val="Численность 2016"/>
      <sheetName val="Численность2017"/>
      <sheetName val="Инф. по реорган. учрежд Заокс"/>
      <sheetName val="Частные школы 2016"/>
      <sheetName val="Частные школы 2017"/>
    </sheetNames>
    <sheetDataSet>
      <sheetData sheetId="0" refreshError="1">
        <row r="150">
          <cell r="L150">
            <v>0</v>
          </cell>
        </row>
        <row r="156">
          <cell r="L1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арт 2015"/>
      <sheetName val="Фонды2015-2017"/>
      <sheetName val="Численность и ФОТ"/>
      <sheetName val="Численность 2016"/>
      <sheetName val="Численность2017"/>
      <sheetName val="Инф. по реорган. учрежд"/>
      <sheetName val="Частные школы 2016"/>
      <sheetName val="Частные школы 2017"/>
    </sheetNames>
    <sheetDataSet>
      <sheetData sheetId="0" refreshError="1">
        <row r="174">
          <cell r="L174">
            <v>0</v>
          </cell>
        </row>
        <row r="176">
          <cell r="L176">
            <v>0</v>
          </cell>
        </row>
        <row r="178">
          <cell r="L178">
            <v>0</v>
          </cell>
        </row>
        <row r="180">
          <cell r="L18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арт 2015"/>
      <sheetName val="Фонды2015-2017"/>
      <sheetName val="Численность и ФОТ"/>
      <sheetName val="Численность 2016"/>
      <sheetName val="Численность2017"/>
      <sheetName val="Инф. по реорган. учрежд"/>
      <sheetName val="Частные школы 2016"/>
      <sheetName val="Частные школы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арт 2015"/>
      <sheetName val="Фонды2015-2017"/>
      <sheetName val="Численность и ФОТ"/>
      <sheetName val="Численность 2016"/>
      <sheetName val="Численность2017"/>
      <sheetName val="Инф. по реорган. учрежд"/>
      <sheetName val="Частные школы 2016"/>
      <sheetName val="Частные школы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53"/>
  <sheetViews>
    <sheetView topLeftCell="A4" workbookViewId="0">
      <pane xSplit="2" ySplit="2" topLeftCell="C129" activePane="bottomRight" state="frozen"/>
      <selection activeCell="A4" sqref="A4"/>
      <selection pane="topRight" activeCell="C4" sqref="C4"/>
      <selection pane="bottomLeft" activeCell="A6" sqref="A6"/>
      <selection pane="bottomRight" activeCell="C234" sqref="C234"/>
    </sheetView>
  </sheetViews>
  <sheetFormatPr defaultRowHeight="12.75"/>
  <cols>
    <col min="1" max="2" width="30.7109375" customWidth="1"/>
    <col min="3" max="3" width="13.28515625" customWidth="1"/>
    <col min="4" max="5" width="15.85546875" style="1238" customWidth="1"/>
    <col min="6" max="6" width="15.140625" customWidth="1"/>
    <col min="7" max="7" width="12" customWidth="1"/>
    <col min="8" max="8" width="12.28515625" customWidth="1"/>
    <col min="9" max="9" width="13.85546875" customWidth="1"/>
    <col min="10" max="11" width="16.28515625" style="1238" customWidth="1"/>
    <col min="12" max="12" width="12" customWidth="1"/>
    <col min="13" max="13" width="11.7109375" customWidth="1"/>
    <col min="14" max="14" width="12.5703125" customWidth="1"/>
  </cols>
  <sheetData>
    <row r="2" spans="1:14">
      <c r="B2" s="3" t="s">
        <v>55</v>
      </c>
      <c r="C2" s="4"/>
    </row>
    <row r="4" spans="1:14" ht="127.5">
      <c r="A4" s="1488" t="s">
        <v>34</v>
      </c>
      <c r="B4" s="1488" t="s">
        <v>56</v>
      </c>
      <c r="C4" s="8" t="s">
        <v>25</v>
      </c>
      <c r="D4" s="1239" t="s">
        <v>9</v>
      </c>
      <c r="E4" s="1239"/>
      <c r="F4" s="31" t="s">
        <v>93</v>
      </c>
      <c r="G4" s="1" t="s">
        <v>58</v>
      </c>
      <c r="H4" s="1" t="s">
        <v>61</v>
      </c>
      <c r="I4" s="9" t="s">
        <v>7</v>
      </c>
      <c r="J4" s="1239" t="s">
        <v>57</v>
      </c>
      <c r="K4" s="1239"/>
      <c r="L4" s="6" t="s">
        <v>59</v>
      </c>
      <c r="M4" s="6" t="s">
        <v>60</v>
      </c>
      <c r="N4" s="6" t="s">
        <v>62</v>
      </c>
    </row>
    <row r="5" spans="1:14">
      <c r="A5" s="1489" t="s">
        <v>34</v>
      </c>
      <c r="B5" s="1489" t="s">
        <v>6</v>
      </c>
      <c r="C5" s="1" t="s">
        <v>19</v>
      </c>
      <c r="D5" s="1239" t="s">
        <v>42</v>
      </c>
      <c r="E5" s="1239"/>
      <c r="F5" s="1" t="s">
        <v>37</v>
      </c>
      <c r="G5" s="1" t="s">
        <v>0</v>
      </c>
      <c r="H5" s="1" t="s">
        <v>13</v>
      </c>
      <c r="I5" s="6" t="s">
        <v>31</v>
      </c>
      <c r="J5" s="1239" t="s">
        <v>26</v>
      </c>
      <c r="K5" s="1239"/>
      <c r="L5" s="6" t="s">
        <v>32</v>
      </c>
      <c r="M5" s="6" t="s">
        <v>39</v>
      </c>
      <c r="N5" s="6" t="s">
        <v>33</v>
      </c>
    </row>
    <row r="6" spans="1:14">
      <c r="A6" s="7"/>
      <c r="B6" s="7"/>
      <c r="C6" s="10">
        <f>C8+C10+C11+C12+C13</f>
        <v>318</v>
      </c>
      <c r="D6" s="1240">
        <f t="shared" ref="D6:N6" si="0">D8+D10+D11+D12+D13</f>
        <v>65506.9</v>
      </c>
      <c r="E6" s="1240"/>
      <c r="F6" s="10">
        <f t="shared" si="0"/>
        <v>65506.9</v>
      </c>
      <c r="G6" s="10">
        <f t="shared" si="0"/>
        <v>0</v>
      </c>
      <c r="H6" s="10">
        <f t="shared" si="0"/>
        <v>2438.0000000000005</v>
      </c>
      <c r="I6" s="10">
        <f t="shared" si="0"/>
        <v>19.200000000000003</v>
      </c>
      <c r="J6" s="1240">
        <f t="shared" si="0"/>
        <v>1852.1999999999998</v>
      </c>
      <c r="K6" s="1240"/>
      <c r="L6" s="10">
        <f t="shared" si="0"/>
        <v>1852.1999999999998</v>
      </c>
      <c r="M6" s="10">
        <f t="shared" si="0"/>
        <v>0</v>
      </c>
      <c r="N6" s="10">
        <f t="shared" si="0"/>
        <v>0</v>
      </c>
    </row>
    <row r="7" spans="1:14" s="24" customFormat="1" ht="38.25">
      <c r="A7" s="22" t="s">
        <v>40</v>
      </c>
      <c r="B7" s="22" t="s">
        <v>30</v>
      </c>
      <c r="C7" s="23">
        <v>318</v>
      </c>
      <c r="D7" s="1241">
        <v>65506.9</v>
      </c>
      <c r="E7" s="1241"/>
      <c r="F7" s="23">
        <v>65506.9</v>
      </c>
      <c r="G7" s="23">
        <v>0</v>
      </c>
      <c r="H7" s="23">
        <v>2438</v>
      </c>
      <c r="I7" s="23">
        <v>19.2</v>
      </c>
      <c r="J7" s="1241">
        <v>1852.2</v>
      </c>
      <c r="K7" s="1241">
        <f>J7/I7/12*1000</f>
        <v>8039.0625</v>
      </c>
      <c r="L7" s="23">
        <v>1852.2</v>
      </c>
      <c r="M7" s="23">
        <v>0</v>
      </c>
      <c r="N7" s="23">
        <v>0</v>
      </c>
    </row>
    <row r="8" spans="1:14" ht="76.5">
      <c r="A8" s="5" t="s">
        <v>40</v>
      </c>
      <c r="B8" s="5" t="s">
        <v>49</v>
      </c>
      <c r="C8" s="2">
        <v>13.7</v>
      </c>
      <c r="D8" s="1241">
        <v>4936.5</v>
      </c>
      <c r="E8" s="1241"/>
      <c r="F8" s="2">
        <v>4936.5</v>
      </c>
      <c r="G8" s="2">
        <v>0</v>
      </c>
      <c r="H8" s="2">
        <v>166.9</v>
      </c>
      <c r="I8" s="2">
        <v>0</v>
      </c>
      <c r="J8" s="1241">
        <v>0</v>
      </c>
      <c r="K8" s="1241"/>
      <c r="L8" s="2">
        <v>0</v>
      </c>
      <c r="M8" s="2">
        <v>0</v>
      </c>
      <c r="N8" s="2">
        <v>0</v>
      </c>
    </row>
    <row r="9" spans="1:14" ht="25.5">
      <c r="A9" s="5" t="s">
        <v>40</v>
      </c>
      <c r="B9" s="5" t="s">
        <v>17</v>
      </c>
      <c r="C9" s="2">
        <v>154.80000000000001</v>
      </c>
      <c r="D9" s="1241">
        <v>41164</v>
      </c>
      <c r="E9" s="1241"/>
      <c r="F9" s="2">
        <v>41164</v>
      </c>
      <c r="G9" s="2">
        <v>0</v>
      </c>
      <c r="H9" s="2">
        <v>2052.1</v>
      </c>
      <c r="I9" s="2">
        <v>3.2</v>
      </c>
      <c r="J9" s="1241">
        <v>461.6</v>
      </c>
      <c r="K9" s="1241"/>
      <c r="L9" s="2">
        <v>461.6</v>
      </c>
      <c r="M9" s="2">
        <v>0</v>
      </c>
      <c r="N9" s="2">
        <v>0</v>
      </c>
    </row>
    <row r="10" spans="1:14" ht="51">
      <c r="A10" s="5" t="s">
        <v>40</v>
      </c>
      <c r="B10" s="5" t="s">
        <v>1</v>
      </c>
      <c r="C10" s="2">
        <v>2.2999999999999998</v>
      </c>
      <c r="D10" s="1241">
        <v>378.7</v>
      </c>
      <c r="E10" s="1241"/>
      <c r="F10" s="2">
        <v>378.7</v>
      </c>
      <c r="G10" s="2">
        <v>0</v>
      </c>
      <c r="H10" s="2">
        <v>39.4</v>
      </c>
      <c r="I10" s="2">
        <v>0.4</v>
      </c>
      <c r="J10" s="1241">
        <v>40.299999999999997</v>
      </c>
      <c r="K10" s="1241"/>
      <c r="L10" s="2">
        <v>40.299999999999997</v>
      </c>
      <c r="M10" s="2">
        <v>0</v>
      </c>
      <c r="N10" s="2">
        <v>0</v>
      </c>
    </row>
    <row r="11" spans="1:14" ht="51">
      <c r="A11" s="5" t="s">
        <v>40</v>
      </c>
      <c r="B11" s="5" t="s">
        <v>4</v>
      </c>
      <c r="C11" s="2">
        <v>164.2</v>
      </c>
      <c r="D11" s="1241">
        <v>43318.3</v>
      </c>
      <c r="E11" s="1241"/>
      <c r="F11" s="2">
        <v>43318.3</v>
      </c>
      <c r="G11" s="2">
        <v>0</v>
      </c>
      <c r="H11" s="2">
        <v>2132.3000000000002</v>
      </c>
      <c r="I11" s="2">
        <v>4.4000000000000004</v>
      </c>
      <c r="J11" s="1241">
        <v>595.79999999999995</v>
      </c>
      <c r="K11" s="1241"/>
      <c r="L11" s="2">
        <v>595.79999999999995</v>
      </c>
      <c r="M11" s="2">
        <v>0</v>
      </c>
      <c r="N11" s="2">
        <v>0</v>
      </c>
    </row>
    <row r="12" spans="1:14" ht="25.5">
      <c r="A12" s="5" t="s">
        <v>40</v>
      </c>
      <c r="B12" s="5" t="s">
        <v>10</v>
      </c>
      <c r="C12" s="2">
        <v>130.80000000000001</v>
      </c>
      <c r="D12" s="1241">
        <v>13965.1</v>
      </c>
      <c r="E12" s="1241"/>
      <c r="F12" s="2">
        <v>13965.1</v>
      </c>
      <c r="G12" s="2">
        <v>0</v>
      </c>
      <c r="H12" s="2">
        <v>0</v>
      </c>
      <c r="I12" s="2">
        <v>14.4</v>
      </c>
      <c r="J12" s="1241">
        <v>1216.0999999999999</v>
      </c>
      <c r="K12" s="1246">
        <f>J12/I12/12*1000</f>
        <v>7037.6157407407409</v>
      </c>
      <c r="L12" s="2">
        <v>1216.0999999999999</v>
      </c>
      <c r="M12" s="2">
        <v>0</v>
      </c>
      <c r="N12" s="2">
        <v>0</v>
      </c>
    </row>
    <row r="13" spans="1:14" ht="25.5">
      <c r="A13" s="5" t="s">
        <v>40</v>
      </c>
      <c r="B13" s="5" t="s">
        <v>52</v>
      </c>
      <c r="C13" s="2">
        <v>7</v>
      </c>
      <c r="D13" s="1241">
        <v>2908.3</v>
      </c>
      <c r="E13" s="1241"/>
      <c r="F13" s="2">
        <v>2908.3</v>
      </c>
      <c r="G13" s="2">
        <v>0</v>
      </c>
      <c r="H13" s="2">
        <v>99.4</v>
      </c>
      <c r="I13" s="2">
        <v>0</v>
      </c>
      <c r="J13" s="1241">
        <v>0</v>
      </c>
      <c r="K13" s="1241"/>
      <c r="L13" s="2">
        <v>0</v>
      </c>
      <c r="M13" s="2">
        <v>0</v>
      </c>
      <c r="N13" s="2">
        <v>0</v>
      </c>
    </row>
    <row r="14" spans="1:14" ht="38.25">
      <c r="A14" s="5" t="s">
        <v>45</v>
      </c>
      <c r="B14" s="5" t="s">
        <v>8</v>
      </c>
      <c r="C14" s="2">
        <v>0</v>
      </c>
      <c r="D14" s="1241">
        <v>0</v>
      </c>
      <c r="E14" s="1241"/>
      <c r="F14" s="2">
        <v>0</v>
      </c>
      <c r="G14" s="2">
        <v>0</v>
      </c>
      <c r="H14" s="2">
        <v>0</v>
      </c>
      <c r="I14" s="2">
        <v>0.4</v>
      </c>
      <c r="J14" s="1241">
        <v>76.099999999999994</v>
      </c>
      <c r="K14" s="1241"/>
      <c r="L14" s="2">
        <v>76.099999999999994</v>
      </c>
      <c r="M14" s="2">
        <v>0</v>
      </c>
      <c r="N14" s="2">
        <v>0</v>
      </c>
    </row>
    <row r="15" spans="1:14" s="580" customFormat="1" ht="38.25">
      <c r="A15" s="578" t="s">
        <v>45</v>
      </c>
      <c r="B15" s="578" t="s">
        <v>30</v>
      </c>
      <c r="C15" s="579">
        <v>428.7</v>
      </c>
      <c r="D15" s="1242">
        <v>103549.1</v>
      </c>
      <c r="E15" s="1242"/>
      <c r="F15" s="579">
        <v>103225.2</v>
      </c>
      <c r="G15" s="579">
        <v>323.89999999999998</v>
      </c>
      <c r="H15" s="579">
        <v>0</v>
      </c>
      <c r="I15" s="579">
        <v>17.399999999999999</v>
      </c>
      <c r="J15" s="1242">
        <v>2477.3000000000002</v>
      </c>
      <c r="K15" s="1242"/>
      <c r="L15" s="579">
        <v>2477.3000000000002</v>
      </c>
      <c r="M15" s="579">
        <v>0</v>
      </c>
      <c r="N15" s="579">
        <v>0</v>
      </c>
    </row>
    <row r="16" spans="1:14" s="583" customFormat="1" ht="76.5">
      <c r="A16" s="581" t="s">
        <v>45</v>
      </c>
      <c r="B16" s="581" t="s">
        <v>49</v>
      </c>
      <c r="C16" s="582">
        <v>26.4</v>
      </c>
      <c r="D16" s="1243">
        <v>10451.200000000001</v>
      </c>
      <c r="E16" s="1243"/>
      <c r="F16" s="582">
        <v>10424.6</v>
      </c>
      <c r="G16" s="582">
        <v>26.6</v>
      </c>
      <c r="H16" s="582">
        <v>0</v>
      </c>
      <c r="I16" s="582">
        <v>0</v>
      </c>
      <c r="J16" s="1243">
        <v>0</v>
      </c>
      <c r="K16" s="1243"/>
      <c r="L16" s="582">
        <v>0</v>
      </c>
      <c r="M16" s="582">
        <v>0</v>
      </c>
      <c r="N16" s="582">
        <v>0</v>
      </c>
    </row>
    <row r="17" spans="1:15" s="583" customFormat="1">
      <c r="A17" s="581" t="s">
        <v>45</v>
      </c>
      <c r="B17" s="581" t="s">
        <v>17</v>
      </c>
      <c r="C17" s="582">
        <v>207.7</v>
      </c>
      <c r="D17" s="1243">
        <v>58826.400000000001</v>
      </c>
      <c r="E17" s="1243"/>
      <c r="F17" s="582">
        <v>58533.4</v>
      </c>
      <c r="G17" s="582">
        <v>293</v>
      </c>
      <c r="H17" s="582">
        <v>0</v>
      </c>
      <c r="I17" s="582">
        <v>8.6</v>
      </c>
      <c r="J17" s="1243">
        <v>1498.5</v>
      </c>
      <c r="K17" s="1243"/>
      <c r="L17" s="582">
        <v>1498.5</v>
      </c>
      <c r="M17" s="582">
        <v>0</v>
      </c>
      <c r="N17" s="582">
        <v>0</v>
      </c>
    </row>
    <row r="18" spans="1:15" s="583" customFormat="1" ht="51">
      <c r="A18" s="581" t="s">
        <v>45</v>
      </c>
      <c r="B18" s="581" t="s">
        <v>1</v>
      </c>
      <c r="C18" s="582">
        <v>19.399999999999999</v>
      </c>
      <c r="D18" s="1243">
        <v>4034.5</v>
      </c>
      <c r="E18" s="1243"/>
      <c r="F18" s="582">
        <v>4034.5</v>
      </c>
      <c r="G18" s="582">
        <v>0</v>
      </c>
      <c r="H18" s="582">
        <v>0</v>
      </c>
      <c r="I18" s="582">
        <v>1.2</v>
      </c>
      <c r="J18" s="1243">
        <v>134.19999999999999</v>
      </c>
      <c r="K18" s="1243"/>
      <c r="L18" s="582">
        <v>134.19999999999999</v>
      </c>
      <c r="M18" s="582">
        <v>0</v>
      </c>
      <c r="N18" s="582">
        <v>0</v>
      </c>
    </row>
    <row r="19" spans="1:15" s="583" customFormat="1" ht="51">
      <c r="A19" s="581" t="s">
        <v>45</v>
      </c>
      <c r="B19" s="581" t="s">
        <v>4</v>
      </c>
      <c r="C19" s="582">
        <v>238.7</v>
      </c>
      <c r="D19" s="1243">
        <v>64605.8</v>
      </c>
      <c r="E19" s="1243"/>
      <c r="F19" s="582">
        <v>64312.800000000003</v>
      </c>
      <c r="G19" s="582">
        <v>293</v>
      </c>
      <c r="H19" s="582">
        <v>0</v>
      </c>
      <c r="I19" s="582">
        <v>8.6</v>
      </c>
      <c r="J19" s="1243">
        <v>1498.5</v>
      </c>
      <c r="K19" s="1243"/>
      <c r="L19" s="582">
        <v>1498.5</v>
      </c>
      <c r="M19" s="582">
        <v>0</v>
      </c>
      <c r="N19" s="582">
        <v>0</v>
      </c>
    </row>
    <row r="20" spans="1:15" s="583" customFormat="1">
      <c r="A20" s="581" t="s">
        <v>45</v>
      </c>
      <c r="B20" s="581" t="s">
        <v>10</v>
      </c>
      <c r="C20" s="582">
        <v>137.19999999999999</v>
      </c>
      <c r="D20" s="1243">
        <v>20254.400000000001</v>
      </c>
      <c r="E20" s="1243"/>
      <c r="F20" s="582">
        <v>20250.099999999999</v>
      </c>
      <c r="G20" s="582">
        <v>4.3</v>
      </c>
      <c r="H20" s="582">
        <v>0</v>
      </c>
      <c r="I20" s="582">
        <v>6.2</v>
      </c>
      <c r="J20" s="1243">
        <v>589.20000000000005</v>
      </c>
      <c r="K20" s="1246">
        <f>J20/I20/12*1000</f>
        <v>7919.3548387096771</v>
      </c>
      <c r="L20" s="582">
        <v>589.20000000000005</v>
      </c>
      <c r="M20" s="582">
        <v>0</v>
      </c>
      <c r="N20" s="582">
        <v>0</v>
      </c>
    </row>
    <row r="21" spans="1:15" s="583" customFormat="1">
      <c r="A21" s="581" t="s">
        <v>45</v>
      </c>
      <c r="B21" s="581" t="s">
        <v>52</v>
      </c>
      <c r="C21" s="582">
        <v>6</v>
      </c>
      <c r="D21" s="1243">
        <v>4023.9</v>
      </c>
      <c r="E21" s="1243"/>
      <c r="F21" s="582">
        <v>4023.9</v>
      </c>
      <c r="G21" s="582">
        <v>0</v>
      </c>
      <c r="H21" s="582">
        <v>0</v>
      </c>
      <c r="I21" s="582">
        <v>0</v>
      </c>
      <c r="J21" s="1243">
        <v>0</v>
      </c>
      <c r="K21" s="1243"/>
      <c r="L21" s="582">
        <v>0</v>
      </c>
      <c r="M21" s="582">
        <v>0</v>
      </c>
      <c r="N21" s="582">
        <v>0</v>
      </c>
    </row>
    <row r="22" spans="1:15" s="583" customFormat="1" ht="63.75">
      <c r="A22" s="581" t="s">
        <v>45</v>
      </c>
      <c r="B22" s="581" t="s">
        <v>18</v>
      </c>
      <c r="C22" s="582">
        <v>1</v>
      </c>
      <c r="D22" s="1243">
        <v>179.3</v>
      </c>
      <c r="E22" s="1243"/>
      <c r="F22" s="582">
        <v>179.3</v>
      </c>
      <c r="G22" s="582">
        <v>0</v>
      </c>
      <c r="H22" s="582">
        <v>0</v>
      </c>
      <c r="I22" s="582">
        <v>1</v>
      </c>
      <c r="J22" s="1243">
        <v>179.3</v>
      </c>
      <c r="K22" s="1243"/>
      <c r="L22" s="582">
        <v>179.3</v>
      </c>
      <c r="M22" s="582">
        <v>0</v>
      </c>
      <c r="N22" s="582">
        <v>0</v>
      </c>
    </row>
    <row r="23" spans="1:15" s="583" customFormat="1" ht="38.25">
      <c r="A23" s="581" t="s">
        <v>43</v>
      </c>
      <c r="B23" s="581" t="s">
        <v>8</v>
      </c>
      <c r="C23" s="582">
        <v>0.6</v>
      </c>
      <c r="D23" s="1243">
        <v>275</v>
      </c>
      <c r="E23" s="1243"/>
      <c r="F23" s="582">
        <v>275</v>
      </c>
      <c r="G23" s="582">
        <v>0</v>
      </c>
      <c r="H23" s="582">
        <v>0</v>
      </c>
      <c r="I23" s="582">
        <v>1.5</v>
      </c>
      <c r="J23" s="1243">
        <v>206.4</v>
      </c>
      <c r="K23" s="1243"/>
      <c r="L23" s="582">
        <v>206.4</v>
      </c>
      <c r="M23" s="582">
        <v>0</v>
      </c>
      <c r="N23" s="582">
        <v>0</v>
      </c>
    </row>
    <row r="24" spans="1:15" s="24" customFormat="1" ht="38.25">
      <c r="A24" s="22" t="s">
        <v>43</v>
      </c>
      <c r="B24" s="22" t="s">
        <v>30</v>
      </c>
      <c r="C24" s="23">
        <v>4310.3999999999996</v>
      </c>
      <c r="D24" s="1241">
        <v>1284521.7</v>
      </c>
      <c r="E24" s="1241"/>
      <c r="F24" s="23">
        <v>1274810.3</v>
      </c>
      <c r="G24" s="23">
        <v>9711.4</v>
      </c>
      <c r="H24" s="23">
        <v>0</v>
      </c>
      <c r="I24" s="23">
        <v>188</v>
      </c>
      <c r="J24" s="1241">
        <v>28400.2</v>
      </c>
      <c r="K24" s="1241"/>
      <c r="L24" s="23">
        <v>28300.9</v>
      </c>
      <c r="M24" s="23">
        <v>99.3</v>
      </c>
      <c r="N24" s="23">
        <v>0</v>
      </c>
    </row>
    <row r="25" spans="1:15" ht="76.5">
      <c r="A25" s="5" t="s">
        <v>43</v>
      </c>
      <c r="B25" s="5" t="s">
        <v>49</v>
      </c>
      <c r="C25" s="2">
        <v>325.8</v>
      </c>
      <c r="D25" s="1241">
        <v>172467.3</v>
      </c>
      <c r="E25" s="1241"/>
      <c r="F25" s="2">
        <v>171205.1</v>
      </c>
      <c r="G25" s="2">
        <v>1262.2</v>
      </c>
      <c r="H25" s="2">
        <v>0</v>
      </c>
      <c r="I25" s="2">
        <v>0.3</v>
      </c>
      <c r="J25" s="1241">
        <v>89.4</v>
      </c>
      <c r="K25" s="1241"/>
      <c r="L25" s="2">
        <v>89.4</v>
      </c>
      <c r="M25" s="2">
        <v>0</v>
      </c>
      <c r="N25" s="2">
        <v>0</v>
      </c>
      <c r="O25" s="26">
        <f>J25+J27+J28+J29+J30+J31</f>
        <v>28193.8</v>
      </c>
    </row>
    <row r="26" spans="1:15">
      <c r="A26" s="5" t="s">
        <v>43</v>
      </c>
      <c r="B26" s="5" t="s">
        <v>17</v>
      </c>
      <c r="C26" s="2">
        <v>2551.1999999999998</v>
      </c>
      <c r="D26" s="1241">
        <v>843422.9</v>
      </c>
      <c r="E26" s="1241"/>
      <c r="F26" s="2">
        <v>836773.5</v>
      </c>
      <c r="G26" s="2">
        <v>6649.4</v>
      </c>
      <c r="H26" s="2">
        <v>0</v>
      </c>
      <c r="I26" s="2">
        <v>39.4</v>
      </c>
      <c r="J26" s="1241">
        <v>8444</v>
      </c>
      <c r="K26" s="1241"/>
      <c r="L26" s="2">
        <v>8413.6</v>
      </c>
      <c r="M26" s="2">
        <v>30.4</v>
      </c>
      <c r="N26" s="2">
        <v>0</v>
      </c>
      <c r="O26" s="26">
        <f>J24-O25</f>
        <v>206.40000000000146</v>
      </c>
    </row>
    <row r="27" spans="1:15" ht="51">
      <c r="A27" s="5" t="s">
        <v>43</v>
      </c>
      <c r="B27" s="5" t="s">
        <v>1</v>
      </c>
      <c r="C27" s="2">
        <v>13.2</v>
      </c>
      <c r="D27" s="1241">
        <v>2404.5</v>
      </c>
      <c r="E27" s="1241"/>
      <c r="F27" s="2">
        <v>2404.5</v>
      </c>
      <c r="G27" s="2">
        <v>0</v>
      </c>
      <c r="H27" s="2">
        <v>0</v>
      </c>
      <c r="I27" s="2">
        <v>1</v>
      </c>
      <c r="J27" s="1241">
        <v>148.19999999999999</v>
      </c>
      <c r="K27" s="1241"/>
      <c r="L27" s="2">
        <v>148.19999999999999</v>
      </c>
      <c r="M27" s="2">
        <v>0</v>
      </c>
      <c r="N27" s="2">
        <v>0</v>
      </c>
    </row>
    <row r="28" spans="1:15" ht="51">
      <c r="A28" s="5" t="s">
        <v>43</v>
      </c>
      <c r="B28" s="5" t="s">
        <v>4</v>
      </c>
      <c r="C28" s="2">
        <v>2887</v>
      </c>
      <c r="D28" s="1241">
        <v>907915.9</v>
      </c>
      <c r="E28" s="1241"/>
      <c r="F28" s="2">
        <v>900641.7</v>
      </c>
      <c r="G28" s="2">
        <v>7274.2</v>
      </c>
      <c r="H28" s="2">
        <v>0</v>
      </c>
      <c r="I28" s="2">
        <v>77.7</v>
      </c>
      <c r="J28" s="1241">
        <v>14890.6</v>
      </c>
      <c r="K28" s="1241"/>
      <c r="L28" s="2">
        <v>14804</v>
      </c>
      <c r="M28" s="2">
        <v>86.6</v>
      </c>
      <c r="N28" s="2">
        <v>0</v>
      </c>
    </row>
    <row r="29" spans="1:15">
      <c r="A29" s="5" t="s">
        <v>43</v>
      </c>
      <c r="B29" s="5" t="s">
        <v>10</v>
      </c>
      <c r="C29" s="2">
        <v>1010.4</v>
      </c>
      <c r="D29" s="1241">
        <v>151004.9</v>
      </c>
      <c r="E29" s="1241"/>
      <c r="F29" s="2">
        <v>150161.9</v>
      </c>
      <c r="G29" s="2">
        <v>843</v>
      </c>
      <c r="H29" s="2">
        <v>0</v>
      </c>
      <c r="I29" s="2">
        <v>107.2</v>
      </c>
      <c r="J29" s="1241">
        <v>13050</v>
      </c>
      <c r="K29" s="1246">
        <f>J29/I29/12*1000</f>
        <v>10144.589552238805</v>
      </c>
      <c r="L29" s="2">
        <v>13037.3</v>
      </c>
      <c r="M29" s="2">
        <v>12.7</v>
      </c>
      <c r="N29" s="2">
        <v>0</v>
      </c>
    </row>
    <row r="30" spans="1:15">
      <c r="A30" s="5" t="s">
        <v>43</v>
      </c>
      <c r="B30" s="5" t="s">
        <v>52</v>
      </c>
      <c r="C30" s="2">
        <v>67</v>
      </c>
      <c r="D30" s="1241">
        <v>49155.8</v>
      </c>
      <c r="E30" s="1241"/>
      <c r="F30" s="2">
        <v>48871.4</v>
      </c>
      <c r="G30" s="2">
        <v>284.39999999999998</v>
      </c>
      <c r="H30" s="2">
        <v>0</v>
      </c>
      <c r="I30" s="2">
        <v>0</v>
      </c>
      <c r="J30" s="1241">
        <v>0</v>
      </c>
      <c r="K30" s="1241"/>
      <c r="L30" s="2">
        <v>0</v>
      </c>
      <c r="M30" s="2">
        <v>0</v>
      </c>
      <c r="N30" s="2">
        <v>0</v>
      </c>
    </row>
    <row r="31" spans="1:15" ht="63.75">
      <c r="A31" s="5" t="s">
        <v>43</v>
      </c>
      <c r="B31" s="5" t="s">
        <v>18</v>
      </c>
      <c r="C31" s="2">
        <v>6.4</v>
      </c>
      <c r="D31" s="1241">
        <v>1298.3</v>
      </c>
      <c r="E31" s="1241"/>
      <c r="F31" s="2">
        <v>1250.7</v>
      </c>
      <c r="G31" s="2">
        <v>47.6</v>
      </c>
      <c r="H31" s="2">
        <v>0</v>
      </c>
      <c r="I31" s="2">
        <v>0.3</v>
      </c>
      <c r="J31" s="1241">
        <v>15.6</v>
      </c>
      <c r="K31" s="1241"/>
      <c r="L31" s="2">
        <v>15.6</v>
      </c>
      <c r="M31" s="2">
        <v>0</v>
      </c>
      <c r="N31" s="2">
        <v>0</v>
      </c>
    </row>
    <row r="32" spans="1:15" s="24" customFormat="1" ht="38.25">
      <c r="A32" s="22" t="s">
        <v>44</v>
      </c>
      <c r="B32" s="22" t="s">
        <v>30</v>
      </c>
      <c r="C32" s="23">
        <v>354.2</v>
      </c>
      <c r="D32" s="1241">
        <v>72378.3</v>
      </c>
      <c r="E32" s="1241"/>
      <c r="F32" s="23">
        <v>72378.3</v>
      </c>
      <c r="G32" s="23">
        <v>0</v>
      </c>
      <c r="H32" s="23">
        <v>0</v>
      </c>
      <c r="I32" s="23">
        <v>15.4</v>
      </c>
      <c r="J32" s="1241">
        <v>1779.5</v>
      </c>
      <c r="K32" s="1241"/>
      <c r="L32" s="23">
        <v>1779.5</v>
      </c>
      <c r="M32" s="23">
        <v>0</v>
      </c>
      <c r="N32" s="23">
        <v>0</v>
      </c>
    </row>
    <row r="33" spans="1:14" ht="76.5">
      <c r="A33" s="5" t="s">
        <v>44</v>
      </c>
      <c r="B33" s="5" t="s">
        <v>49</v>
      </c>
      <c r="C33" s="2">
        <v>22</v>
      </c>
      <c r="D33" s="1241">
        <v>6314.5</v>
      </c>
      <c r="E33" s="1241"/>
      <c r="F33" s="2">
        <v>6314.5</v>
      </c>
      <c r="G33" s="2">
        <v>0</v>
      </c>
      <c r="H33" s="2">
        <v>0</v>
      </c>
      <c r="I33" s="2">
        <v>0</v>
      </c>
      <c r="J33" s="1241">
        <v>0</v>
      </c>
      <c r="K33" s="1241"/>
      <c r="L33" s="2">
        <v>0</v>
      </c>
      <c r="M33" s="2">
        <v>0</v>
      </c>
      <c r="N33" s="2">
        <v>0</v>
      </c>
    </row>
    <row r="34" spans="1:14">
      <c r="A34" s="5" t="s">
        <v>44</v>
      </c>
      <c r="B34" s="5" t="s">
        <v>17</v>
      </c>
      <c r="C34" s="2">
        <v>165.9</v>
      </c>
      <c r="D34" s="1241">
        <v>46326.2</v>
      </c>
      <c r="E34" s="1241"/>
      <c r="F34" s="2">
        <v>46326.2</v>
      </c>
      <c r="G34" s="2">
        <v>0</v>
      </c>
      <c r="H34" s="2">
        <v>0</v>
      </c>
      <c r="I34" s="2">
        <v>9</v>
      </c>
      <c r="J34" s="1241">
        <v>1142.9000000000001</v>
      </c>
      <c r="K34" s="1241"/>
      <c r="L34" s="2">
        <v>1142.9000000000001</v>
      </c>
      <c r="M34" s="2">
        <v>0</v>
      </c>
      <c r="N34" s="2">
        <v>0</v>
      </c>
    </row>
    <row r="35" spans="1:14" ht="51">
      <c r="A35" s="5" t="s">
        <v>44</v>
      </c>
      <c r="B35" s="5" t="s">
        <v>4</v>
      </c>
      <c r="C35" s="2">
        <v>190</v>
      </c>
      <c r="D35" s="1241">
        <v>50913</v>
      </c>
      <c r="E35" s="1241"/>
      <c r="F35" s="2">
        <v>50913</v>
      </c>
      <c r="G35" s="2">
        <v>0</v>
      </c>
      <c r="H35" s="2">
        <v>0</v>
      </c>
      <c r="I35" s="2">
        <v>9.1</v>
      </c>
      <c r="J35" s="1241">
        <v>1153.4000000000001</v>
      </c>
      <c r="K35" s="1241"/>
      <c r="L35" s="2">
        <v>1153.4000000000001</v>
      </c>
      <c r="M35" s="2">
        <v>0</v>
      </c>
      <c r="N35" s="2">
        <v>0</v>
      </c>
    </row>
    <row r="36" spans="1:14">
      <c r="A36" s="5" t="s">
        <v>44</v>
      </c>
      <c r="B36" s="5" t="s">
        <v>10</v>
      </c>
      <c r="C36" s="2">
        <v>137.19999999999999</v>
      </c>
      <c r="D36" s="1241">
        <v>13218</v>
      </c>
      <c r="E36" s="1241"/>
      <c r="F36" s="2">
        <v>13218</v>
      </c>
      <c r="G36" s="2">
        <v>0</v>
      </c>
      <c r="H36" s="2">
        <v>0</v>
      </c>
      <c r="I36" s="2">
        <v>5.8</v>
      </c>
      <c r="J36" s="1241">
        <v>561</v>
      </c>
      <c r="K36" s="1246">
        <f>J36/I36/12*1000</f>
        <v>8060.3448275862083</v>
      </c>
      <c r="L36" s="2">
        <v>561</v>
      </c>
      <c r="M36" s="2">
        <v>0</v>
      </c>
      <c r="N36" s="2">
        <v>0</v>
      </c>
    </row>
    <row r="37" spans="1:14">
      <c r="A37" s="5" t="s">
        <v>44</v>
      </c>
      <c r="B37" s="5" t="s">
        <v>52</v>
      </c>
      <c r="C37" s="2">
        <v>5</v>
      </c>
      <c r="D37" s="1241">
        <v>1932.8</v>
      </c>
      <c r="E37" s="1241"/>
      <c r="F37" s="2">
        <v>1932.8</v>
      </c>
      <c r="G37" s="2">
        <v>0</v>
      </c>
      <c r="H37" s="2">
        <v>0</v>
      </c>
      <c r="I37" s="2">
        <v>0</v>
      </c>
      <c r="J37" s="1241">
        <v>0</v>
      </c>
      <c r="K37" s="1241"/>
      <c r="L37" s="2">
        <v>0</v>
      </c>
      <c r="M37" s="2">
        <v>0</v>
      </c>
      <c r="N37" s="2">
        <v>0</v>
      </c>
    </row>
    <row r="38" spans="1:14" ht="63.75">
      <c r="A38" s="5" t="s">
        <v>44</v>
      </c>
      <c r="B38" s="5" t="s">
        <v>18</v>
      </c>
      <c r="C38" s="2">
        <v>0</v>
      </c>
      <c r="D38" s="1241">
        <v>0</v>
      </c>
      <c r="E38" s="1241"/>
      <c r="F38" s="2">
        <v>0</v>
      </c>
      <c r="G38" s="2">
        <v>0</v>
      </c>
      <c r="H38" s="2">
        <v>0</v>
      </c>
      <c r="I38" s="2">
        <v>0.5</v>
      </c>
      <c r="J38" s="1241">
        <v>65.099999999999994</v>
      </c>
      <c r="K38" s="1241"/>
      <c r="L38" s="2">
        <v>65.099999999999994</v>
      </c>
      <c r="M38" s="2">
        <v>0</v>
      </c>
      <c r="N38" s="2">
        <v>0</v>
      </c>
    </row>
    <row r="39" spans="1:14" s="24" customFormat="1" ht="38.25">
      <c r="A39" s="22" t="s">
        <v>50</v>
      </c>
      <c r="B39" s="22" t="s">
        <v>30</v>
      </c>
      <c r="C39" s="23">
        <v>370.9</v>
      </c>
      <c r="D39" s="1241">
        <v>86823.9</v>
      </c>
      <c r="E39" s="1241"/>
      <c r="F39" s="23">
        <v>86823.9</v>
      </c>
      <c r="G39" s="23">
        <v>0</v>
      </c>
      <c r="H39" s="23">
        <v>0</v>
      </c>
      <c r="I39" s="23">
        <v>26.1</v>
      </c>
      <c r="J39" s="1241">
        <v>3109.5</v>
      </c>
      <c r="K39" s="1241"/>
      <c r="L39" s="23">
        <v>3109.5</v>
      </c>
      <c r="M39" s="23">
        <v>0</v>
      </c>
      <c r="N39" s="23">
        <v>0</v>
      </c>
    </row>
    <row r="40" spans="1:14" ht="76.5">
      <c r="A40" s="5" t="s">
        <v>50</v>
      </c>
      <c r="B40" s="5" t="s">
        <v>49</v>
      </c>
      <c r="C40" s="2">
        <v>23.3</v>
      </c>
      <c r="D40" s="1241">
        <v>9388.2000000000007</v>
      </c>
      <c r="E40" s="1241"/>
      <c r="F40" s="2">
        <v>9388.2000000000007</v>
      </c>
      <c r="G40" s="2">
        <v>0</v>
      </c>
      <c r="H40" s="2">
        <v>0</v>
      </c>
      <c r="I40" s="2">
        <v>0</v>
      </c>
      <c r="J40" s="1241">
        <v>0</v>
      </c>
      <c r="K40" s="1241"/>
      <c r="L40" s="2">
        <v>0</v>
      </c>
      <c r="M40" s="2">
        <v>0</v>
      </c>
      <c r="N40" s="2">
        <v>0</v>
      </c>
    </row>
    <row r="41" spans="1:14">
      <c r="A41" s="5" t="s">
        <v>50</v>
      </c>
      <c r="B41" s="5" t="s">
        <v>17</v>
      </c>
      <c r="C41" s="2">
        <v>184.5</v>
      </c>
      <c r="D41" s="1241">
        <v>53629.8</v>
      </c>
      <c r="E41" s="1241"/>
      <c r="F41" s="2">
        <v>53629.8</v>
      </c>
      <c r="G41" s="2">
        <v>0</v>
      </c>
      <c r="H41" s="2">
        <v>0</v>
      </c>
      <c r="I41" s="2">
        <v>6.3</v>
      </c>
      <c r="J41" s="1241">
        <v>857.3</v>
      </c>
      <c r="K41" s="1241"/>
      <c r="L41" s="2">
        <v>857.3</v>
      </c>
      <c r="M41" s="2">
        <v>0</v>
      </c>
      <c r="N41" s="2">
        <v>0</v>
      </c>
    </row>
    <row r="42" spans="1:14" ht="51">
      <c r="A42" s="5" t="s">
        <v>50</v>
      </c>
      <c r="B42" s="5" t="s">
        <v>4</v>
      </c>
      <c r="C42" s="2">
        <v>207.2</v>
      </c>
      <c r="D42" s="1241">
        <v>58241.8</v>
      </c>
      <c r="E42" s="1241"/>
      <c r="F42" s="2">
        <v>58241.8</v>
      </c>
      <c r="G42" s="2">
        <v>0</v>
      </c>
      <c r="H42" s="2">
        <v>0</v>
      </c>
      <c r="I42" s="2">
        <v>11.8</v>
      </c>
      <c r="J42" s="1241">
        <v>1575.5</v>
      </c>
      <c r="K42" s="1241"/>
      <c r="L42" s="2">
        <v>1575.5</v>
      </c>
      <c r="M42" s="2">
        <v>0</v>
      </c>
      <c r="N42" s="2">
        <v>0</v>
      </c>
    </row>
    <row r="43" spans="1:14">
      <c r="A43" s="5" t="s">
        <v>50</v>
      </c>
      <c r="B43" s="5" t="s">
        <v>10</v>
      </c>
      <c r="C43" s="2">
        <v>134.5</v>
      </c>
      <c r="D43" s="1241">
        <v>15598.6</v>
      </c>
      <c r="E43" s="1241"/>
      <c r="F43" s="2">
        <v>15598.6</v>
      </c>
      <c r="G43" s="2">
        <v>0</v>
      </c>
      <c r="H43" s="2">
        <v>0</v>
      </c>
      <c r="I43" s="2">
        <v>14.3</v>
      </c>
      <c r="J43" s="1241">
        <v>1534</v>
      </c>
      <c r="K43" s="1246">
        <f>J43/I43/12*1000</f>
        <v>8939.3939393939399</v>
      </c>
      <c r="L43" s="2">
        <v>1534</v>
      </c>
      <c r="M43" s="2">
        <v>0</v>
      </c>
      <c r="N43" s="2">
        <v>0</v>
      </c>
    </row>
    <row r="44" spans="1:14">
      <c r="A44" s="5" t="s">
        <v>50</v>
      </c>
      <c r="B44" s="5" t="s">
        <v>52</v>
      </c>
      <c r="C44" s="2">
        <v>5.9</v>
      </c>
      <c r="D44" s="1241">
        <v>3595.3</v>
      </c>
      <c r="E44" s="1241"/>
      <c r="F44" s="2">
        <v>3595.3</v>
      </c>
      <c r="G44" s="2">
        <v>0</v>
      </c>
      <c r="H44" s="2">
        <v>0</v>
      </c>
      <c r="I44" s="2">
        <v>0</v>
      </c>
      <c r="J44" s="1241">
        <v>0</v>
      </c>
      <c r="K44" s="1241"/>
      <c r="L44" s="2">
        <v>0</v>
      </c>
      <c r="M44" s="2">
        <v>0</v>
      </c>
      <c r="N44" s="2">
        <v>0</v>
      </c>
    </row>
    <row r="45" spans="1:14" s="24" customFormat="1" ht="38.25">
      <c r="A45" s="22" t="s">
        <v>29</v>
      </c>
      <c r="B45" s="22" t="s">
        <v>30</v>
      </c>
      <c r="C45" s="23">
        <v>199.6</v>
      </c>
      <c r="D45" s="1241">
        <v>42351.4</v>
      </c>
      <c r="E45" s="1241"/>
      <c r="F45" s="23">
        <v>42351.4</v>
      </c>
      <c r="G45" s="23">
        <v>0</v>
      </c>
      <c r="H45" s="23">
        <v>1624.4</v>
      </c>
      <c r="I45" s="23">
        <v>0</v>
      </c>
      <c r="J45" s="1241">
        <v>0</v>
      </c>
      <c r="K45" s="1241"/>
      <c r="L45" s="23">
        <v>0</v>
      </c>
      <c r="M45" s="23">
        <v>0</v>
      </c>
      <c r="N45" s="23">
        <v>0</v>
      </c>
    </row>
    <row r="46" spans="1:14" ht="76.5">
      <c r="A46" s="5" t="s">
        <v>29</v>
      </c>
      <c r="B46" s="5" t="s">
        <v>49</v>
      </c>
      <c r="C46" s="2">
        <v>10.8</v>
      </c>
      <c r="D46" s="1241">
        <v>3850</v>
      </c>
      <c r="E46" s="1241"/>
      <c r="F46" s="2">
        <v>3850</v>
      </c>
      <c r="G46" s="2">
        <v>0</v>
      </c>
      <c r="H46" s="2">
        <v>174.6</v>
      </c>
      <c r="I46" s="2">
        <v>0</v>
      </c>
      <c r="J46" s="1241">
        <v>0</v>
      </c>
      <c r="K46" s="1241"/>
      <c r="L46" s="2">
        <v>0</v>
      </c>
      <c r="M46" s="2">
        <v>0</v>
      </c>
      <c r="N46" s="2">
        <v>0</v>
      </c>
    </row>
    <row r="47" spans="1:14" ht="25.5">
      <c r="A47" s="5" t="s">
        <v>29</v>
      </c>
      <c r="B47" s="5" t="s">
        <v>17</v>
      </c>
      <c r="C47" s="2">
        <v>83.7</v>
      </c>
      <c r="D47" s="1241">
        <v>23402.5</v>
      </c>
      <c r="E47" s="1241"/>
      <c r="F47" s="2">
        <v>23402.5</v>
      </c>
      <c r="G47" s="2">
        <v>0</v>
      </c>
      <c r="H47" s="2">
        <v>1124.5999999999999</v>
      </c>
      <c r="I47" s="2">
        <v>0</v>
      </c>
      <c r="J47" s="1241">
        <v>0</v>
      </c>
      <c r="K47" s="1241"/>
      <c r="L47" s="2">
        <v>0</v>
      </c>
      <c r="M47" s="2">
        <v>0</v>
      </c>
      <c r="N47" s="2">
        <v>0</v>
      </c>
    </row>
    <row r="48" spans="1:14" ht="51">
      <c r="A48" s="5" t="s">
        <v>29</v>
      </c>
      <c r="B48" s="5" t="s">
        <v>1</v>
      </c>
      <c r="C48" s="2">
        <v>2</v>
      </c>
      <c r="D48" s="1241">
        <v>460.3</v>
      </c>
      <c r="E48" s="1241"/>
      <c r="F48" s="2">
        <v>460.3</v>
      </c>
      <c r="G48" s="2">
        <v>0</v>
      </c>
      <c r="H48" s="2">
        <v>29.4</v>
      </c>
      <c r="I48" s="2">
        <v>0</v>
      </c>
      <c r="J48" s="1241">
        <v>0</v>
      </c>
      <c r="K48" s="1241"/>
      <c r="L48" s="2">
        <v>0</v>
      </c>
      <c r="M48" s="2">
        <v>0</v>
      </c>
      <c r="N48" s="2">
        <v>0</v>
      </c>
    </row>
    <row r="49" spans="1:15" ht="51">
      <c r="A49" s="5" t="s">
        <v>29</v>
      </c>
      <c r="B49" s="5" t="s">
        <v>4</v>
      </c>
      <c r="C49" s="2">
        <v>102.3</v>
      </c>
      <c r="D49" s="1241">
        <v>26699.8</v>
      </c>
      <c r="E49" s="1241"/>
      <c r="F49" s="2">
        <v>26699.8</v>
      </c>
      <c r="G49" s="2">
        <v>0</v>
      </c>
      <c r="H49" s="2">
        <v>1341.4</v>
      </c>
      <c r="I49" s="2">
        <v>0</v>
      </c>
      <c r="J49" s="1241">
        <v>0</v>
      </c>
      <c r="K49" s="1241"/>
      <c r="L49" s="2">
        <v>0</v>
      </c>
      <c r="M49" s="2">
        <v>0</v>
      </c>
      <c r="N49" s="2">
        <v>0</v>
      </c>
    </row>
    <row r="50" spans="1:15" ht="25.5">
      <c r="A50" s="5" t="s">
        <v>29</v>
      </c>
      <c r="B50" s="5" t="s">
        <v>10</v>
      </c>
      <c r="C50" s="2">
        <v>80.5</v>
      </c>
      <c r="D50" s="1241">
        <v>9392.2999999999993</v>
      </c>
      <c r="E50" s="1241"/>
      <c r="F50" s="2">
        <v>9392.2999999999993</v>
      </c>
      <c r="G50" s="2">
        <v>0</v>
      </c>
      <c r="H50" s="2">
        <v>2.2999999999999998</v>
      </c>
      <c r="I50" s="2">
        <v>0</v>
      </c>
      <c r="J50" s="1241">
        <v>0</v>
      </c>
      <c r="K50" s="1246" t="e">
        <f>J50/I50/12*1000</f>
        <v>#DIV/0!</v>
      </c>
      <c r="L50" s="2">
        <v>0</v>
      </c>
      <c r="M50" s="2">
        <v>0</v>
      </c>
      <c r="N50" s="2">
        <v>0</v>
      </c>
    </row>
    <row r="51" spans="1:15" ht="25.5">
      <c r="A51" s="5" t="s">
        <v>29</v>
      </c>
      <c r="B51" s="5" t="s">
        <v>52</v>
      </c>
      <c r="C51" s="2">
        <v>4</v>
      </c>
      <c r="D51" s="1241">
        <v>1949</v>
      </c>
      <c r="E51" s="1241"/>
      <c r="F51" s="2">
        <v>1949</v>
      </c>
      <c r="G51" s="2">
        <v>0</v>
      </c>
      <c r="H51" s="2">
        <v>76.7</v>
      </c>
      <c r="I51" s="2">
        <v>0</v>
      </c>
      <c r="J51" s="1241">
        <v>0</v>
      </c>
      <c r="K51" s="1241"/>
      <c r="L51" s="2">
        <v>0</v>
      </c>
      <c r="M51" s="2">
        <v>0</v>
      </c>
      <c r="N51" s="2">
        <v>0</v>
      </c>
    </row>
    <row r="52" spans="1:15" s="24" customFormat="1" ht="38.25">
      <c r="A52" s="22" t="s">
        <v>20</v>
      </c>
      <c r="B52" s="22" t="s">
        <v>30</v>
      </c>
      <c r="C52" s="23">
        <v>247.7</v>
      </c>
      <c r="D52" s="1241">
        <v>58459.6</v>
      </c>
      <c r="E52" s="1241"/>
      <c r="F52" s="23">
        <v>58459.6</v>
      </c>
      <c r="G52" s="23">
        <v>0</v>
      </c>
      <c r="H52" s="23">
        <v>5155.2</v>
      </c>
      <c r="I52" s="23">
        <v>14.8</v>
      </c>
      <c r="J52" s="1241">
        <v>1983.7</v>
      </c>
      <c r="K52" s="1241"/>
      <c r="L52" s="23">
        <v>1983.7</v>
      </c>
      <c r="M52" s="23">
        <v>0</v>
      </c>
      <c r="N52" s="23">
        <v>37.799999999999997</v>
      </c>
    </row>
    <row r="53" spans="1:15" ht="76.5">
      <c r="A53" s="5" t="s">
        <v>20</v>
      </c>
      <c r="B53" s="5" t="s">
        <v>49</v>
      </c>
      <c r="C53" s="2">
        <v>15.2</v>
      </c>
      <c r="D53" s="1241">
        <v>5952.5</v>
      </c>
      <c r="E53" s="1241"/>
      <c r="F53" s="2">
        <v>5952.5</v>
      </c>
      <c r="G53" s="2">
        <v>0</v>
      </c>
      <c r="H53" s="2">
        <v>542.5</v>
      </c>
      <c r="I53" s="2">
        <v>0</v>
      </c>
      <c r="J53" s="1241">
        <v>0</v>
      </c>
      <c r="K53" s="1241"/>
      <c r="L53" s="2">
        <v>0</v>
      </c>
      <c r="M53" s="2">
        <v>0</v>
      </c>
      <c r="N53" s="2">
        <v>0</v>
      </c>
    </row>
    <row r="54" spans="1:15" ht="25.5">
      <c r="A54" s="5" t="s">
        <v>20</v>
      </c>
      <c r="B54" s="5" t="s">
        <v>17</v>
      </c>
      <c r="C54" s="2">
        <v>111.7</v>
      </c>
      <c r="D54" s="1241">
        <v>33585.800000000003</v>
      </c>
      <c r="E54" s="1241"/>
      <c r="F54" s="2">
        <v>33585.800000000003</v>
      </c>
      <c r="G54" s="2">
        <v>0</v>
      </c>
      <c r="H54" s="2">
        <v>3822</v>
      </c>
      <c r="I54" s="2">
        <v>5.0999999999999996</v>
      </c>
      <c r="J54" s="1241">
        <v>796.3</v>
      </c>
      <c r="K54" s="1241"/>
      <c r="L54" s="2">
        <v>796.3</v>
      </c>
      <c r="M54" s="2">
        <v>0</v>
      </c>
      <c r="N54" s="2">
        <v>37.799999999999997</v>
      </c>
    </row>
    <row r="55" spans="1:15" ht="51">
      <c r="A55" s="5" t="s">
        <v>20</v>
      </c>
      <c r="B55" s="5" t="s">
        <v>1</v>
      </c>
      <c r="C55" s="2">
        <v>10</v>
      </c>
      <c r="D55" s="1241">
        <v>2210.8000000000002</v>
      </c>
      <c r="E55" s="1241"/>
      <c r="F55" s="2">
        <v>2210.8000000000002</v>
      </c>
      <c r="G55" s="2">
        <v>0</v>
      </c>
      <c r="H55" s="2">
        <v>267.89999999999998</v>
      </c>
      <c r="I55" s="2">
        <v>0</v>
      </c>
      <c r="J55" s="1241">
        <v>0</v>
      </c>
      <c r="K55" s="1241"/>
      <c r="L55" s="2">
        <v>0</v>
      </c>
      <c r="M55" s="2">
        <v>0</v>
      </c>
      <c r="N55" s="2">
        <v>0</v>
      </c>
    </row>
    <row r="56" spans="1:15" ht="51">
      <c r="A56" s="5" t="s">
        <v>20</v>
      </c>
      <c r="B56" s="5" t="s">
        <v>4</v>
      </c>
      <c r="C56" s="2">
        <v>122</v>
      </c>
      <c r="D56" s="1241">
        <v>35961.199999999997</v>
      </c>
      <c r="E56" s="1241"/>
      <c r="F56" s="2">
        <v>35961.199999999997</v>
      </c>
      <c r="G56" s="2">
        <v>0</v>
      </c>
      <c r="H56" s="2">
        <v>4127.7</v>
      </c>
      <c r="I56" s="2">
        <v>5.6</v>
      </c>
      <c r="J56" s="1241">
        <v>850.8</v>
      </c>
      <c r="K56" s="1241"/>
      <c r="L56" s="2">
        <v>850.8</v>
      </c>
      <c r="M56" s="2">
        <v>0</v>
      </c>
      <c r="N56" s="2">
        <v>37.799999999999997</v>
      </c>
    </row>
    <row r="57" spans="1:15" ht="25.5">
      <c r="A57" s="5" t="s">
        <v>20</v>
      </c>
      <c r="B57" s="5" t="s">
        <v>10</v>
      </c>
      <c r="C57" s="2">
        <v>96.5</v>
      </c>
      <c r="D57" s="1241">
        <v>12151.5</v>
      </c>
      <c r="E57" s="1241"/>
      <c r="F57" s="2">
        <v>12151.5</v>
      </c>
      <c r="G57" s="2">
        <v>0</v>
      </c>
      <c r="H57" s="2">
        <v>80.099999999999994</v>
      </c>
      <c r="I57" s="2">
        <v>9.1999999999999993</v>
      </c>
      <c r="J57" s="1241">
        <v>1132.9000000000001</v>
      </c>
      <c r="K57" s="1246">
        <f>J57/I57/12*1000</f>
        <v>10261.775362318842</v>
      </c>
      <c r="L57" s="2">
        <v>1132.9000000000001</v>
      </c>
      <c r="M57" s="2">
        <v>0</v>
      </c>
      <c r="N57" s="2">
        <v>0</v>
      </c>
      <c r="O57">
        <f>D57/C57/12*1000</f>
        <v>10493.523316062176</v>
      </c>
    </row>
    <row r="58" spans="1:15" ht="25.5">
      <c r="A58" s="5" t="s">
        <v>20</v>
      </c>
      <c r="B58" s="5" t="s">
        <v>52</v>
      </c>
      <c r="C58" s="2">
        <v>4</v>
      </c>
      <c r="D58" s="1241">
        <v>2183.6</v>
      </c>
      <c r="E58" s="1241"/>
      <c r="F58" s="2">
        <v>2183.6</v>
      </c>
      <c r="G58" s="2">
        <v>0</v>
      </c>
      <c r="H58" s="2">
        <v>137</v>
      </c>
      <c r="I58" s="2">
        <v>0</v>
      </c>
      <c r="J58" s="1241">
        <v>0</v>
      </c>
      <c r="K58" s="1241"/>
      <c r="L58" s="2">
        <v>0</v>
      </c>
      <c r="M58" s="2">
        <v>0</v>
      </c>
      <c r="N58" s="2">
        <v>0</v>
      </c>
    </row>
    <row r="59" spans="1:15" s="24" customFormat="1" ht="38.25">
      <c r="A59" s="22" t="s">
        <v>24</v>
      </c>
      <c r="B59" s="22" t="s">
        <v>30</v>
      </c>
      <c r="C59" s="23">
        <v>130.1</v>
      </c>
      <c r="D59" s="1241">
        <v>24962.5</v>
      </c>
      <c r="E59" s="1241"/>
      <c r="F59" s="23">
        <v>24962.5</v>
      </c>
      <c r="G59" s="23">
        <v>0</v>
      </c>
      <c r="H59" s="23">
        <v>1097.5999999999999</v>
      </c>
      <c r="I59" s="23">
        <v>3.1</v>
      </c>
      <c r="J59" s="1241">
        <v>270.60000000000002</v>
      </c>
      <c r="K59" s="1241"/>
      <c r="L59" s="23">
        <v>270.60000000000002</v>
      </c>
      <c r="M59" s="23">
        <v>0</v>
      </c>
      <c r="N59" s="23">
        <v>0</v>
      </c>
    </row>
    <row r="60" spans="1:15" ht="76.5">
      <c r="A60" s="5" t="s">
        <v>24</v>
      </c>
      <c r="B60" s="5" t="s">
        <v>49</v>
      </c>
      <c r="C60" s="2">
        <v>4.7</v>
      </c>
      <c r="D60" s="1241">
        <v>2370.8000000000002</v>
      </c>
      <c r="E60" s="1241"/>
      <c r="F60" s="2">
        <v>2370.8000000000002</v>
      </c>
      <c r="G60" s="2">
        <v>0</v>
      </c>
      <c r="H60" s="2">
        <v>9.9</v>
      </c>
      <c r="I60" s="2">
        <v>0</v>
      </c>
      <c r="J60" s="1241">
        <v>0</v>
      </c>
      <c r="K60" s="1241"/>
      <c r="L60" s="2">
        <v>0</v>
      </c>
      <c r="M60" s="2">
        <v>0</v>
      </c>
      <c r="N60" s="2">
        <v>0</v>
      </c>
    </row>
    <row r="61" spans="1:15" ht="25.5">
      <c r="A61" s="5" t="s">
        <v>24</v>
      </c>
      <c r="B61" s="5" t="s">
        <v>17</v>
      </c>
      <c r="C61" s="2">
        <v>58.2</v>
      </c>
      <c r="D61" s="1241">
        <v>15081.7</v>
      </c>
      <c r="E61" s="1241"/>
      <c r="F61" s="2">
        <v>15081.7</v>
      </c>
      <c r="G61" s="2">
        <v>0</v>
      </c>
      <c r="H61" s="2">
        <v>1079.5</v>
      </c>
      <c r="I61" s="2">
        <v>0.4</v>
      </c>
      <c r="J61" s="1241">
        <v>41.2</v>
      </c>
      <c r="K61" s="1241"/>
      <c r="L61" s="2">
        <v>41.2</v>
      </c>
      <c r="M61" s="2">
        <v>0</v>
      </c>
      <c r="N61" s="2">
        <v>0</v>
      </c>
    </row>
    <row r="62" spans="1:15" ht="51">
      <c r="A62" s="5" t="s">
        <v>24</v>
      </c>
      <c r="B62" s="5" t="s">
        <v>1</v>
      </c>
      <c r="C62" s="2">
        <v>0.8</v>
      </c>
      <c r="D62" s="1241">
        <v>174.2</v>
      </c>
      <c r="E62" s="1241"/>
      <c r="F62" s="2">
        <v>174.2</v>
      </c>
      <c r="G62" s="2">
        <v>0</v>
      </c>
      <c r="H62" s="2">
        <v>2.5</v>
      </c>
      <c r="I62" s="2">
        <v>0</v>
      </c>
      <c r="J62" s="1241">
        <v>0</v>
      </c>
      <c r="K62" s="1241"/>
      <c r="L62" s="2">
        <v>0</v>
      </c>
      <c r="M62" s="2">
        <v>0</v>
      </c>
      <c r="N62" s="2">
        <v>0</v>
      </c>
    </row>
    <row r="63" spans="1:15" ht="51">
      <c r="A63" s="5" t="s">
        <v>24</v>
      </c>
      <c r="B63" s="5" t="s">
        <v>4</v>
      </c>
      <c r="C63" s="2">
        <v>61.2</v>
      </c>
      <c r="D63" s="1241">
        <v>15824.6</v>
      </c>
      <c r="E63" s="1241"/>
      <c r="F63" s="2">
        <v>15824.6</v>
      </c>
      <c r="G63" s="2">
        <v>0</v>
      </c>
      <c r="H63" s="2">
        <v>1079.5</v>
      </c>
      <c r="I63" s="2">
        <v>0.4</v>
      </c>
      <c r="J63" s="1241">
        <v>41.2</v>
      </c>
      <c r="K63" s="1241"/>
      <c r="L63" s="2">
        <v>41.2</v>
      </c>
      <c r="M63" s="2">
        <v>0</v>
      </c>
      <c r="N63" s="2">
        <v>0</v>
      </c>
    </row>
    <row r="64" spans="1:15" ht="25.5">
      <c r="A64" s="5" t="s">
        <v>24</v>
      </c>
      <c r="B64" s="5" t="s">
        <v>10</v>
      </c>
      <c r="C64" s="2">
        <v>59.4</v>
      </c>
      <c r="D64" s="1241">
        <v>5063.2</v>
      </c>
      <c r="E64" s="1241"/>
      <c r="F64" s="2">
        <v>5063.2</v>
      </c>
      <c r="G64" s="2">
        <v>0</v>
      </c>
      <c r="H64" s="2">
        <v>0</v>
      </c>
      <c r="I64" s="2">
        <v>2.7</v>
      </c>
      <c r="J64" s="1241">
        <v>229.4</v>
      </c>
      <c r="K64" s="1246">
        <f>J64/I64/12*1000</f>
        <v>7080.2469135802467</v>
      </c>
      <c r="L64" s="2">
        <v>229.4</v>
      </c>
      <c r="M64" s="2">
        <v>0</v>
      </c>
      <c r="N64" s="2">
        <v>0</v>
      </c>
    </row>
    <row r="65" spans="1:14" ht="25.5">
      <c r="A65" s="5" t="s">
        <v>24</v>
      </c>
      <c r="B65" s="5" t="s">
        <v>52</v>
      </c>
      <c r="C65" s="2">
        <v>4</v>
      </c>
      <c r="D65" s="1241">
        <v>1529.7</v>
      </c>
      <c r="E65" s="1241"/>
      <c r="F65" s="2">
        <v>1529.7</v>
      </c>
      <c r="G65" s="2">
        <v>0</v>
      </c>
      <c r="H65" s="2">
        <v>5.7</v>
      </c>
      <c r="I65" s="2">
        <v>0</v>
      </c>
      <c r="J65" s="1241">
        <v>0</v>
      </c>
      <c r="K65" s="1241"/>
      <c r="L65" s="2">
        <v>0</v>
      </c>
      <c r="M65" s="2">
        <v>0</v>
      </c>
      <c r="N65" s="2">
        <v>0</v>
      </c>
    </row>
    <row r="66" spans="1:14" s="580" customFormat="1" ht="38.25">
      <c r="A66" s="578" t="s">
        <v>48</v>
      </c>
      <c r="B66" s="578" t="s">
        <v>30</v>
      </c>
      <c r="C66" s="579">
        <v>556.5</v>
      </c>
      <c r="D66" s="1242">
        <v>118766.8</v>
      </c>
      <c r="E66" s="1242"/>
      <c r="F66" s="579">
        <v>118766.8</v>
      </c>
      <c r="G66" s="579">
        <v>0</v>
      </c>
      <c r="H66" s="579">
        <v>6039.5</v>
      </c>
      <c r="I66" s="579">
        <v>10.1</v>
      </c>
      <c r="J66" s="1242">
        <v>1744.2</v>
      </c>
      <c r="K66" s="1242"/>
      <c r="L66" s="579">
        <v>1744.2</v>
      </c>
      <c r="M66" s="579">
        <v>0</v>
      </c>
      <c r="N66" s="579">
        <v>0</v>
      </c>
    </row>
    <row r="67" spans="1:14" s="583" customFormat="1" ht="76.5">
      <c r="A67" s="581" t="s">
        <v>48</v>
      </c>
      <c r="B67" s="581" t="s">
        <v>49</v>
      </c>
      <c r="C67" s="582">
        <v>51</v>
      </c>
      <c r="D67" s="1243">
        <v>18047.900000000001</v>
      </c>
      <c r="E67" s="1243"/>
      <c r="F67" s="582">
        <v>18047.900000000001</v>
      </c>
      <c r="G67" s="582">
        <v>0</v>
      </c>
      <c r="H67" s="582">
        <v>0</v>
      </c>
      <c r="I67" s="582">
        <v>0.4</v>
      </c>
      <c r="J67" s="1243">
        <v>149.80000000000001</v>
      </c>
      <c r="K67" s="1243"/>
      <c r="L67" s="582">
        <v>149.80000000000001</v>
      </c>
      <c r="M67" s="582">
        <v>0</v>
      </c>
      <c r="N67" s="582">
        <v>0</v>
      </c>
    </row>
    <row r="68" spans="1:14" s="583" customFormat="1" ht="25.5">
      <c r="A68" s="581" t="s">
        <v>48</v>
      </c>
      <c r="B68" s="581" t="s">
        <v>17</v>
      </c>
      <c r="C68" s="582">
        <v>226.8</v>
      </c>
      <c r="D68" s="1243">
        <v>63261.5</v>
      </c>
      <c r="E68" s="1243"/>
      <c r="F68" s="582">
        <v>63261.5</v>
      </c>
      <c r="G68" s="582">
        <v>0</v>
      </c>
      <c r="H68" s="582">
        <v>6039.5</v>
      </c>
      <c r="I68" s="582">
        <v>6.4</v>
      </c>
      <c r="J68" s="1243">
        <v>1195.5999999999999</v>
      </c>
      <c r="K68" s="1243"/>
      <c r="L68" s="582">
        <v>1195.5999999999999</v>
      </c>
      <c r="M68" s="582">
        <v>0</v>
      </c>
      <c r="N68" s="582">
        <v>0</v>
      </c>
    </row>
    <row r="69" spans="1:14" s="583" customFormat="1" ht="51">
      <c r="A69" s="581" t="s">
        <v>48</v>
      </c>
      <c r="B69" s="581" t="s">
        <v>1</v>
      </c>
      <c r="C69" s="582">
        <v>15.5</v>
      </c>
      <c r="D69" s="1243">
        <v>3057</v>
      </c>
      <c r="E69" s="1243"/>
      <c r="F69" s="582">
        <v>3057</v>
      </c>
      <c r="G69" s="582">
        <v>0</v>
      </c>
      <c r="H69" s="582">
        <v>0</v>
      </c>
      <c r="I69" s="582">
        <v>0</v>
      </c>
      <c r="J69" s="1243">
        <v>0</v>
      </c>
      <c r="K69" s="1243"/>
      <c r="L69" s="582">
        <v>0</v>
      </c>
      <c r="M69" s="582">
        <v>0</v>
      </c>
      <c r="N69" s="582">
        <v>0</v>
      </c>
    </row>
    <row r="70" spans="1:14" s="583" customFormat="1" ht="51">
      <c r="A70" s="581" t="s">
        <v>48</v>
      </c>
      <c r="B70" s="581" t="s">
        <v>4</v>
      </c>
      <c r="C70" s="582">
        <v>260.10000000000002</v>
      </c>
      <c r="D70" s="1243">
        <v>69495.199999999997</v>
      </c>
      <c r="E70" s="1243"/>
      <c r="F70" s="582">
        <v>69495.199999999997</v>
      </c>
      <c r="G70" s="582">
        <v>0</v>
      </c>
      <c r="H70" s="582">
        <v>6039.5</v>
      </c>
      <c r="I70" s="582">
        <v>7</v>
      </c>
      <c r="J70" s="1243">
        <v>1322.5</v>
      </c>
      <c r="K70" s="1243"/>
      <c r="L70" s="582">
        <v>1322.5</v>
      </c>
      <c r="M70" s="582">
        <v>0</v>
      </c>
      <c r="N70" s="582">
        <v>0</v>
      </c>
    </row>
    <row r="71" spans="1:14" s="583" customFormat="1" ht="25.5">
      <c r="A71" s="581" t="s">
        <v>48</v>
      </c>
      <c r="B71" s="581" t="s">
        <v>10</v>
      </c>
      <c r="C71" s="582">
        <v>221.1</v>
      </c>
      <c r="D71" s="1243">
        <v>23253.9</v>
      </c>
      <c r="E71" s="1243"/>
      <c r="F71" s="582">
        <v>23253.9</v>
      </c>
      <c r="G71" s="582">
        <v>0</v>
      </c>
      <c r="H71" s="582">
        <v>0</v>
      </c>
      <c r="I71" s="582">
        <v>2.7</v>
      </c>
      <c r="J71" s="1243">
        <v>271.89999999999998</v>
      </c>
      <c r="K71" s="1246">
        <f>J71/I71/12*1000</f>
        <v>8391.9753086419751</v>
      </c>
      <c r="L71" s="582">
        <v>271.89999999999998</v>
      </c>
      <c r="M71" s="582">
        <v>0</v>
      </c>
      <c r="N71" s="582">
        <v>0</v>
      </c>
    </row>
    <row r="72" spans="1:14" s="583" customFormat="1" ht="25.5">
      <c r="A72" s="581" t="s">
        <v>48</v>
      </c>
      <c r="B72" s="581" t="s">
        <v>52</v>
      </c>
      <c r="C72" s="582">
        <v>8.8000000000000007</v>
      </c>
      <c r="D72" s="1243">
        <v>4912.8</v>
      </c>
      <c r="E72" s="1243"/>
      <c r="F72" s="582">
        <v>4912.8</v>
      </c>
      <c r="G72" s="582">
        <v>0</v>
      </c>
      <c r="H72" s="582">
        <v>0</v>
      </c>
      <c r="I72" s="582">
        <v>0</v>
      </c>
      <c r="J72" s="1243">
        <v>0</v>
      </c>
      <c r="K72" s="1243"/>
      <c r="L72" s="582">
        <v>0</v>
      </c>
      <c r="M72" s="582">
        <v>0</v>
      </c>
      <c r="N72" s="582">
        <v>0</v>
      </c>
    </row>
    <row r="73" spans="1:14" s="24" customFormat="1" ht="38.25">
      <c r="A73" s="22" t="s">
        <v>28</v>
      </c>
      <c r="B73" s="22" t="s">
        <v>30</v>
      </c>
      <c r="C73" s="23">
        <v>532.70000000000005</v>
      </c>
      <c r="D73" s="1241">
        <v>100696.3</v>
      </c>
      <c r="E73" s="1241"/>
      <c r="F73" s="23">
        <v>100696.3</v>
      </c>
      <c r="G73" s="23">
        <v>0</v>
      </c>
      <c r="H73" s="23">
        <v>3285</v>
      </c>
      <c r="I73" s="23">
        <v>11</v>
      </c>
      <c r="J73" s="1241">
        <v>1721.3</v>
      </c>
      <c r="K73" s="1241"/>
      <c r="L73" s="23">
        <v>1721.3</v>
      </c>
      <c r="M73" s="23">
        <v>0</v>
      </c>
      <c r="N73" s="23">
        <v>0</v>
      </c>
    </row>
    <row r="74" spans="1:14" ht="76.5">
      <c r="A74" s="5" t="s">
        <v>28</v>
      </c>
      <c r="B74" s="5" t="s">
        <v>49</v>
      </c>
      <c r="C74" s="2">
        <v>33</v>
      </c>
      <c r="D74" s="1241">
        <v>9092.5</v>
      </c>
      <c r="E74" s="1241"/>
      <c r="F74" s="2">
        <v>9092.5</v>
      </c>
      <c r="G74" s="2">
        <v>0</v>
      </c>
      <c r="H74" s="2">
        <v>399.8</v>
      </c>
      <c r="I74" s="2">
        <v>0.3</v>
      </c>
      <c r="J74" s="1241">
        <v>45.6</v>
      </c>
      <c r="K74" s="1241"/>
      <c r="L74" s="2">
        <v>45.6</v>
      </c>
      <c r="M74" s="2">
        <v>0</v>
      </c>
      <c r="N74" s="2">
        <v>0</v>
      </c>
    </row>
    <row r="75" spans="1:14" ht="25.5">
      <c r="A75" s="5" t="s">
        <v>28</v>
      </c>
      <c r="B75" s="5" t="s">
        <v>17</v>
      </c>
      <c r="C75" s="2">
        <v>200.7</v>
      </c>
      <c r="D75" s="1241">
        <v>52894</v>
      </c>
      <c r="E75" s="1241"/>
      <c r="F75" s="2">
        <v>52894</v>
      </c>
      <c r="G75" s="2">
        <v>0</v>
      </c>
      <c r="H75" s="2">
        <v>2058.5</v>
      </c>
      <c r="I75" s="2">
        <v>6.6</v>
      </c>
      <c r="J75" s="1241">
        <v>1202.4000000000001</v>
      </c>
      <c r="K75" s="1241"/>
      <c r="L75" s="2">
        <v>1202.4000000000001</v>
      </c>
      <c r="M75" s="2">
        <v>0</v>
      </c>
      <c r="N75" s="2">
        <v>0</v>
      </c>
    </row>
    <row r="76" spans="1:14" ht="51">
      <c r="A76" s="5" t="s">
        <v>28</v>
      </c>
      <c r="B76" s="5" t="s">
        <v>1</v>
      </c>
      <c r="C76" s="2">
        <v>38</v>
      </c>
      <c r="D76" s="1241">
        <v>9887.7000000000007</v>
      </c>
      <c r="E76" s="1241"/>
      <c r="F76" s="2">
        <v>9887.7000000000007</v>
      </c>
      <c r="G76" s="2">
        <v>0</v>
      </c>
      <c r="H76" s="2">
        <v>494.8</v>
      </c>
      <c r="I76" s="2">
        <v>1.1000000000000001</v>
      </c>
      <c r="J76" s="1241">
        <v>237.5</v>
      </c>
      <c r="K76" s="1241"/>
      <c r="L76" s="2">
        <v>237.5</v>
      </c>
      <c r="M76" s="2">
        <v>0</v>
      </c>
      <c r="N76" s="2">
        <v>0</v>
      </c>
    </row>
    <row r="77" spans="1:14" ht="51">
      <c r="A77" s="5" t="s">
        <v>28</v>
      </c>
      <c r="B77" s="5" t="s">
        <v>4</v>
      </c>
      <c r="C77" s="2">
        <v>216.1</v>
      </c>
      <c r="D77" s="1241">
        <v>55912.7</v>
      </c>
      <c r="E77" s="1241"/>
      <c r="F77" s="2">
        <v>55912.7</v>
      </c>
      <c r="G77" s="2">
        <v>0</v>
      </c>
      <c r="H77" s="2">
        <v>2241.4</v>
      </c>
      <c r="I77" s="2">
        <v>6.6</v>
      </c>
      <c r="J77" s="1241">
        <v>1202.4000000000001</v>
      </c>
      <c r="K77" s="1241"/>
      <c r="L77" s="2">
        <v>1202.4000000000001</v>
      </c>
      <c r="M77" s="2">
        <v>0</v>
      </c>
      <c r="N77" s="2">
        <v>0</v>
      </c>
    </row>
    <row r="78" spans="1:14" ht="25.5">
      <c r="A78" s="5" t="s">
        <v>28</v>
      </c>
      <c r="B78" s="5" t="s">
        <v>10</v>
      </c>
      <c r="C78" s="2">
        <v>237.6</v>
      </c>
      <c r="D78" s="1241">
        <v>23106</v>
      </c>
      <c r="E78" s="1241"/>
      <c r="F78" s="2">
        <v>23106</v>
      </c>
      <c r="G78" s="2">
        <v>0</v>
      </c>
      <c r="H78" s="2">
        <v>0</v>
      </c>
      <c r="I78" s="2">
        <v>3</v>
      </c>
      <c r="J78" s="1241">
        <v>235.8</v>
      </c>
      <c r="K78" s="1246">
        <f>J78/I78/12*1000</f>
        <v>6550.0000000000009</v>
      </c>
      <c r="L78" s="2">
        <v>235.8</v>
      </c>
      <c r="M78" s="2">
        <v>0</v>
      </c>
      <c r="N78" s="2">
        <v>0</v>
      </c>
    </row>
    <row r="79" spans="1:14" ht="25.5">
      <c r="A79" s="5" t="s">
        <v>28</v>
      </c>
      <c r="B79" s="5" t="s">
        <v>52</v>
      </c>
      <c r="C79" s="2">
        <v>8</v>
      </c>
      <c r="D79" s="1241">
        <v>2697.4</v>
      </c>
      <c r="E79" s="1241"/>
      <c r="F79" s="2">
        <v>2697.4</v>
      </c>
      <c r="G79" s="2">
        <v>0</v>
      </c>
      <c r="H79" s="2">
        <v>149</v>
      </c>
      <c r="I79" s="2">
        <v>0</v>
      </c>
      <c r="J79" s="1241">
        <v>0</v>
      </c>
      <c r="K79" s="1241"/>
      <c r="L79" s="2">
        <v>0</v>
      </c>
      <c r="M79" s="2">
        <v>0</v>
      </c>
      <c r="N79" s="2">
        <v>0</v>
      </c>
    </row>
    <row r="80" spans="1:14" ht="38.25">
      <c r="A80" s="5" t="s">
        <v>21</v>
      </c>
      <c r="B80" s="5" t="s">
        <v>8</v>
      </c>
      <c r="C80" s="2">
        <v>1</v>
      </c>
      <c r="D80" s="1241">
        <v>192.1</v>
      </c>
      <c r="E80" s="1241"/>
      <c r="F80" s="2">
        <v>192.1</v>
      </c>
      <c r="G80" s="2">
        <v>0</v>
      </c>
      <c r="H80" s="2">
        <v>0</v>
      </c>
      <c r="I80" s="2">
        <v>0</v>
      </c>
      <c r="J80" s="1241">
        <v>0</v>
      </c>
      <c r="K80" s="1241"/>
      <c r="L80" s="2">
        <v>0</v>
      </c>
      <c r="M80" s="2">
        <v>0</v>
      </c>
      <c r="N80" s="2">
        <v>0</v>
      </c>
    </row>
    <row r="81" spans="1:14" s="24" customFormat="1" ht="38.25">
      <c r="A81" s="22" t="s">
        <v>21</v>
      </c>
      <c r="B81" s="22" t="s">
        <v>30</v>
      </c>
      <c r="C81" s="23">
        <v>359.5</v>
      </c>
      <c r="D81" s="1241">
        <v>79165.2</v>
      </c>
      <c r="E81" s="1241"/>
      <c r="F81" s="23">
        <v>79165.2</v>
      </c>
      <c r="G81" s="23">
        <v>0</v>
      </c>
      <c r="H81" s="23">
        <v>1385.1</v>
      </c>
      <c r="I81" s="23">
        <v>20.8</v>
      </c>
      <c r="J81" s="1241">
        <v>2811.9</v>
      </c>
      <c r="K81" s="1241"/>
      <c r="L81" s="23">
        <v>2811.9</v>
      </c>
      <c r="M81" s="23">
        <v>0</v>
      </c>
      <c r="N81" s="23">
        <v>27.3</v>
      </c>
    </row>
    <row r="82" spans="1:14" ht="76.5">
      <c r="A82" s="5" t="s">
        <v>21</v>
      </c>
      <c r="B82" s="5" t="s">
        <v>49</v>
      </c>
      <c r="C82" s="2">
        <v>23</v>
      </c>
      <c r="D82" s="1241">
        <v>10074.200000000001</v>
      </c>
      <c r="E82" s="1241"/>
      <c r="F82" s="2">
        <v>10074.200000000001</v>
      </c>
      <c r="G82" s="2">
        <v>0</v>
      </c>
      <c r="H82" s="2">
        <v>70.900000000000006</v>
      </c>
      <c r="I82" s="2">
        <v>1</v>
      </c>
      <c r="J82" s="1241">
        <v>390</v>
      </c>
      <c r="K82" s="1241"/>
      <c r="L82" s="2">
        <v>390</v>
      </c>
      <c r="M82" s="2">
        <v>0</v>
      </c>
      <c r="N82" s="2">
        <v>0</v>
      </c>
    </row>
    <row r="83" spans="1:14" ht="25.5">
      <c r="A83" s="5" t="s">
        <v>21</v>
      </c>
      <c r="B83" s="5" t="s">
        <v>17</v>
      </c>
      <c r="C83" s="2">
        <v>163</v>
      </c>
      <c r="D83" s="1241">
        <v>44553.2</v>
      </c>
      <c r="E83" s="1241"/>
      <c r="F83" s="2">
        <v>44553.2</v>
      </c>
      <c r="G83" s="2">
        <v>0</v>
      </c>
      <c r="H83" s="2">
        <v>1157.4000000000001</v>
      </c>
      <c r="I83" s="2">
        <v>5.5</v>
      </c>
      <c r="J83" s="1241">
        <v>1046.4000000000001</v>
      </c>
      <c r="K83" s="1241"/>
      <c r="L83" s="2">
        <v>1046.4000000000001</v>
      </c>
      <c r="M83" s="2">
        <v>0</v>
      </c>
      <c r="N83" s="2">
        <v>27.3</v>
      </c>
    </row>
    <row r="84" spans="1:14" ht="51">
      <c r="A84" s="5" t="s">
        <v>21</v>
      </c>
      <c r="B84" s="5" t="s">
        <v>1</v>
      </c>
      <c r="C84" s="2">
        <v>3</v>
      </c>
      <c r="D84" s="1241">
        <v>677.2</v>
      </c>
      <c r="E84" s="1241"/>
      <c r="F84" s="2">
        <v>677.2</v>
      </c>
      <c r="G84" s="2">
        <v>0</v>
      </c>
      <c r="H84" s="2">
        <v>0</v>
      </c>
      <c r="I84" s="2">
        <v>0.6</v>
      </c>
      <c r="J84" s="1241">
        <v>83.9</v>
      </c>
      <c r="K84" s="1241"/>
      <c r="L84" s="2">
        <v>83.9</v>
      </c>
      <c r="M84" s="2">
        <v>0</v>
      </c>
      <c r="N84" s="2">
        <v>0</v>
      </c>
    </row>
    <row r="85" spans="1:14" ht="51">
      <c r="A85" s="5" t="s">
        <v>21</v>
      </c>
      <c r="B85" s="5" t="s">
        <v>4</v>
      </c>
      <c r="C85" s="2">
        <v>172.5</v>
      </c>
      <c r="D85" s="1241">
        <v>46001.8</v>
      </c>
      <c r="E85" s="1241"/>
      <c r="F85" s="2">
        <v>46001.8</v>
      </c>
      <c r="G85" s="2">
        <v>0</v>
      </c>
      <c r="H85" s="2">
        <v>1206.8</v>
      </c>
      <c r="I85" s="2">
        <v>6.7</v>
      </c>
      <c r="J85" s="1241">
        <v>1188.8</v>
      </c>
      <c r="K85" s="1241"/>
      <c r="L85" s="2">
        <v>1188.8</v>
      </c>
      <c r="M85" s="2">
        <v>0</v>
      </c>
      <c r="N85" s="2">
        <v>27.3</v>
      </c>
    </row>
    <row r="86" spans="1:14" ht="25.5">
      <c r="A86" s="5" t="s">
        <v>21</v>
      </c>
      <c r="B86" s="5" t="s">
        <v>10</v>
      </c>
      <c r="C86" s="2">
        <v>150</v>
      </c>
      <c r="D86" s="1241">
        <v>16497.3</v>
      </c>
      <c r="E86" s="1241"/>
      <c r="F86" s="2">
        <v>16497.3</v>
      </c>
      <c r="G86" s="2">
        <v>0</v>
      </c>
      <c r="H86" s="2">
        <v>0</v>
      </c>
      <c r="I86" s="2">
        <v>12.4</v>
      </c>
      <c r="J86" s="1241">
        <v>1140.0999999999999</v>
      </c>
      <c r="K86" s="1246">
        <f>J86/I86/12*1000</f>
        <v>7661.9623655913974</v>
      </c>
      <c r="L86" s="2">
        <v>1140.0999999999999</v>
      </c>
      <c r="M86" s="2">
        <v>0</v>
      </c>
      <c r="N86" s="2">
        <v>0</v>
      </c>
    </row>
    <row r="87" spans="1:14" ht="25.5">
      <c r="A87" s="5" t="s">
        <v>21</v>
      </c>
      <c r="B87" s="5" t="s">
        <v>52</v>
      </c>
      <c r="C87" s="2">
        <v>9</v>
      </c>
      <c r="D87" s="1241">
        <v>5610.1</v>
      </c>
      <c r="E87" s="1241"/>
      <c r="F87" s="2">
        <v>5610.1</v>
      </c>
      <c r="G87" s="2">
        <v>0</v>
      </c>
      <c r="H87" s="2">
        <v>107.4</v>
      </c>
      <c r="I87" s="2">
        <v>0</v>
      </c>
      <c r="J87" s="1241">
        <v>0</v>
      </c>
      <c r="K87" s="1241"/>
      <c r="L87" s="2">
        <v>0</v>
      </c>
      <c r="M87" s="2">
        <v>0</v>
      </c>
      <c r="N87" s="2">
        <v>0</v>
      </c>
    </row>
    <row r="88" spans="1:14" ht="63.75">
      <c r="A88" s="5" t="s">
        <v>21</v>
      </c>
      <c r="B88" s="5" t="s">
        <v>18</v>
      </c>
      <c r="C88" s="2">
        <v>1</v>
      </c>
      <c r="D88" s="1241">
        <v>112.5</v>
      </c>
      <c r="E88" s="1241"/>
      <c r="F88" s="2">
        <v>112.5</v>
      </c>
      <c r="G88" s="2">
        <v>0</v>
      </c>
      <c r="H88" s="2">
        <v>0</v>
      </c>
      <c r="I88" s="2">
        <v>0.1</v>
      </c>
      <c r="J88" s="1241">
        <v>9.1</v>
      </c>
      <c r="K88" s="1241"/>
      <c r="L88" s="2">
        <v>9.1</v>
      </c>
      <c r="M88" s="2">
        <v>0</v>
      </c>
      <c r="N88" s="2">
        <v>0</v>
      </c>
    </row>
    <row r="89" spans="1:14" s="683" customFormat="1" ht="38.25">
      <c r="A89" s="681" t="s">
        <v>12</v>
      </c>
      <c r="B89" s="681" t="s">
        <v>30</v>
      </c>
      <c r="C89" s="682">
        <v>326.8</v>
      </c>
      <c r="D89" s="1241">
        <v>73718.2</v>
      </c>
      <c r="E89" s="1241"/>
      <c r="F89" s="682">
        <v>73718.2</v>
      </c>
      <c r="G89" s="682">
        <v>0</v>
      </c>
      <c r="H89" s="682">
        <v>2111.4</v>
      </c>
      <c r="I89" s="682">
        <v>10.7</v>
      </c>
      <c r="J89" s="1241">
        <v>1492.1</v>
      </c>
      <c r="K89" s="1241"/>
      <c r="L89" s="682">
        <v>1492.1</v>
      </c>
      <c r="M89" s="682">
        <v>0</v>
      </c>
      <c r="N89" s="682">
        <v>0</v>
      </c>
    </row>
    <row r="90" spans="1:14" ht="76.5">
      <c r="A90" s="5" t="s">
        <v>12</v>
      </c>
      <c r="B90" s="5" t="s">
        <v>49</v>
      </c>
      <c r="C90" s="2">
        <v>22.8</v>
      </c>
      <c r="D90" s="1241">
        <v>10233.4</v>
      </c>
      <c r="E90" s="1241"/>
      <c r="F90" s="2">
        <v>10233.4</v>
      </c>
      <c r="G90" s="2">
        <v>0</v>
      </c>
      <c r="H90" s="2">
        <v>280</v>
      </c>
      <c r="I90" s="2">
        <v>0.3</v>
      </c>
      <c r="J90" s="1241">
        <v>74.900000000000006</v>
      </c>
      <c r="K90" s="1241"/>
      <c r="L90" s="2">
        <v>74.900000000000006</v>
      </c>
      <c r="M90" s="2">
        <v>0</v>
      </c>
      <c r="N90" s="2">
        <v>0</v>
      </c>
    </row>
    <row r="91" spans="1:14" ht="25.5">
      <c r="A91" s="5" t="s">
        <v>12</v>
      </c>
      <c r="B91" s="5" t="s">
        <v>17</v>
      </c>
      <c r="C91" s="2">
        <v>119.9</v>
      </c>
      <c r="D91" s="1241">
        <v>31570.1</v>
      </c>
      <c r="E91" s="1241"/>
      <c r="F91" s="2">
        <v>31570.1</v>
      </c>
      <c r="G91" s="2">
        <v>0</v>
      </c>
      <c r="H91" s="2">
        <v>1472.5</v>
      </c>
      <c r="I91" s="2">
        <v>3.5</v>
      </c>
      <c r="J91" s="1241">
        <v>722.6</v>
      </c>
      <c r="K91" s="1241"/>
      <c r="L91" s="2">
        <v>722.6</v>
      </c>
      <c r="M91" s="2">
        <v>0</v>
      </c>
      <c r="N91" s="2">
        <v>0</v>
      </c>
    </row>
    <row r="92" spans="1:14" ht="51">
      <c r="A92" s="5" t="s">
        <v>12</v>
      </c>
      <c r="B92" s="5" t="s">
        <v>1</v>
      </c>
      <c r="C92" s="2">
        <v>11.2</v>
      </c>
      <c r="D92" s="1241">
        <v>1950.8</v>
      </c>
      <c r="E92" s="1241"/>
      <c r="F92" s="2">
        <v>1950.8</v>
      </c>
      <c r="G92" s="2">
        <v>0</v>
      </c>
      <c r="H92" s="2">
        <v>114.2</v>
      </c>
      <c r="I92" s="2">
        <v>0</v>
      </c>
      <c r="J92" s="1241">
        <v>0</v>
      </c>
      <c r="K92" s="1241"/>
      <c r="L92" s="2">
        <v>0</v>
      </c>
      <c r="M92" s="2">
        <v>0</v>
      </c>
      <c r="N92" s="2">
        <v>0</v>
      </c>
    </row>
    <row r="93" spans="1:14" ht="51">
      <c r="A93" s="5" t="s">
        <v>12</v>
      </c>
      <c r="B93" s="5" t="s">
        <v>4</v>
      </c>
      <c r="C93" s="2">
        <v>125.6</v>
      </c>
      <c r="D93" s="1241">
        <v>32932.400000000001</v>
      </c>
      <c r="E93" s="1241"/>
      <c r="F93" s="2">
        <v>32932.400000000001</v>
      </c>
      <c r="G93" s="2">
        <v>0</v>
      </c>
      <c r="H93" s="2">
        <v>1521.3</v>
      </c>
      <c r="I93" s="2">
        <v>3.5</v>
      </c>
      <c r="J93" s="1241">
        <v>722.6</v>
      </c>
      <c r="K93" s="1241"/>
      <c r="L93" s="2">
        <v>722.6</v>
      </c>
      <c r="M93" s="2">
        <v>0</v>
      </c>
      <c r="N93" s="2">
        <v>0</v>
      </c>
    </row>
    <row r="94" spans="1:14" ht="25.5">
      <c r="A94" s="5" t="s">
        <v>12</v>
      </c>
      <c r="B94" s="5" t="s">
        <v>10</v>
      </c>
      <c r="C94" s="2">
        <v>158.19999999999999</v>
      </c>
      <c r="D94" s="1241">
        <v>23362.1</v>
      </c>
      <c r="E94" s="1241"/>
      <c r="F94" s="2">
        <v>23362.1</v>
      </c>
      <c r="G94" s="2">
        <v>0</v>
      </c>
      <c r="H94" s="2">
        <v>53.6</v>
      </c>
      <c r="I94" s="2">
        <v>6.9</v>
      </c>
      <c r="J94" s="1241">
        <v>694.6</v>
      </c>
      <c r="K94" s="1246">
        <f>J94/I94/12*1000</f>
        <v>8388.8888888888887</v>
      </c>
      <c r="L94" s="2">
        <v>694.6</v>
      </c>
      <c r="M94" s="2">
        <v>0</v>
      </c>
      <c r="N94" s="2">
        <v>0</v>
      </c>
    </row>
    <row r="95" spans="1:14" ht="25.5">
      <c r="A95" s="5" t="s">
        <v>12</v>
      </c>
      <c r="B95" s="5" t="s">
        <v>52</v>
      </c>
      <c r="C95" s="2">
        <v>9</v>
      </c>
      <c r="D95" s="1241">
        <v>5239.5</v>
      </c>
      <c r="E95" s="1241"/>
      <c r="F95" s="2">
        <v>5239.5</v>
      </c>
      <c r="G95" s="2">
        <v>0</v>
      </c>
      <c r="H95" s="2">
        <v>142.30000000000001</v>
      </c>
      <c r="I95" s="2">
        <v>0</v>
      </c>
      <c r="J95" s="1241">
        <v>0</v>
      </c>
      <c r="K95" s="1241"/>
      <c r="L95" s="2">
        <v>0</v>
      </c>
      <c r="M95" s="2">
        <v>0</v>
      </c>
      <c r="N95" s="2">
        <v>0</v>
      </c>
    </row>
    <row r="96" spans="1:14" s="24" customFormat="1" ht="38.25">
      <c r="A96" s="22" t="s">
        <v>41</v>
      </c>
      <c r="B96" s="22" t="s">
        <v>30</v>
      </c>
      <c r="C96" s="23">
        <v>626.9</v>
      </c>
      <c r="D96" s="1241">
        <v>128178.7</v>
      </c>
      <c r="E96" s="1241"/>
      <c r="F96" s="23">
        <v>128178.7</v>
      </c>
      <c r="G96" s="23">
        <v>0</v>
      </c>
      <c r="H96" s="23">
        <v>5045.8</v>
      </c>
      <c r="I96" s="23">
        <v>39.1</v>
      </c>
      <c r="J96" s="1241">
        <v>6538.4</v>
      </c>
      <c r="K96" s="1241"/>
      <c r="L96" s="23">
        <v>6538.4</v>
      </c>
      <c r="M96" s="23">
        <v>0</v>
      </c>
      <c r="N96" s="23">
        <v>479.6</v>
      </c>
    </row>
    <row r="97" spans="1:14" ht="76.5">
      <c r="A97" s="5" t="s">
        <v>41</v>
      </c>
      <c r="B97" s="5" t="s">
        <v>49</v>
      </c>
      <c r="C97" s="2">
        <v>33.200000000000003</v>
      </c>
      <c r="D97" s="1241">
        <v>16183.2</v>
      </c>
      <c r="E97" s="1241"/>
      <c r="F97" s="2">
        <v>16183.2</v>
      </c>
      <c r="G97" s="2">
        <v>0</v>
      </c>
      <c r="H97" s="2">
        <v>409.7</v>
      </c>
      <c r="I97" s="2">
        <v>1</v>
      </c>
      <c r="J97" s="1241">
        <v>248.3</v>
      </c>
      <c r="K97" s="1241"/>
      <c r="L97" s="2">
        <v>248.3</v>
      </c>
      <c r="M97" s="2">
        <v>0</v>
      </c>
      <c r="N97" s="2">
        <v>0</v>
      </c>
    </row>
    <row r="98" spans="1:14">
      <c r="A98" s="32">
        <f>C97+C99+C100+C101+C102+C103+C104</f>
        <v>630.90000000000009</v>
      </c>
      <c r="B98" s="5" t="s">
        <v>17</v>
      </c>
      <c r="C98" s="2">
        <v>261.89999999999998</v>
      </c>
      <c r="D98" s="1241">
        <v>73843.899999999994</v>
      </c>
      <c r="E98" s="1241"/>
      <c r="F98" s="2">
        <v>73843.899999999994</v>
      </c>
      <c r="G98" s="2">
        <v>0</v>
      </c>
      <c r="H98" s="2">
        <v>4085.8</v>
      </c>
      <c r="I98" s="2">
        <v>23.2</v>
      </c>
      <c r="J98" s="1241">
        <v>4951.5</v>
      </c>
      <c r="K98" s="1241"/>
      <c r="L98" s="2">
        <v>4951.5</v>
      </c>
      <c r="M98" s="2">
        <v>0</v>
      </c>
      <c r="N98" s="2">
        <v>479.6</v>
      </c>
    </row>
    <row r="99" spans="1:14" ht="51">
      <c r="A99" s="5" t="s">
        <v>41</v>
      </c>
      <c r="B99" s="5" t="s">
        <v>1</v>
      </c>
      <c r="C99" s="2">
        <v>6</v>
      </c>
      <c r="D99" s="1241">
        <v>1370.5</v>
      </c>
      <c r="E99" s="1241"/>
      <c r="F99" s="2">
        <v>1370.5</v>
      </c>
      <c r="G99" s="2">
        <v>0</v>
      </c>
      <c r="H99" s="2">
        <v>112.8</v>
      </c>
      <c r="I99" s="2">
        <v>0</v>
      </c>
      <c r="J99" s="1241">
        <v>0</v>
      </c>
      <c r="K99" s="1241"/>
      <c r="L99" s="2">
        <v>0</v>
      </c>
      <c r="M99" s="2">
        <v>0</v>
      </c>
      <c r="N99" s="2">
        <v>0</v>
      </c>
    </row>
    <row r="100" spans="1:14" ht="51">
      <c r="A100" s="5" t="s">
        <v>41</v>
      </c>
      <c r="B100" s="5" t="s">
        <v>4</v>
      </c>
      <c r="C100" s="2">
        <v>278.7</v>
      </c>
      <c r="D100" s="1241">
        <v>77196.600000000006</v>
      </c>
      <c r="E100" s="1241"/>
      <c r="F100" s="2">
        <v>77196.600000000006</v>
      </c>
      <c r="G100" s="2">
        <v>0</v>
      </c>
      <c r="H100" s="2">
        <v>4324.3</v>
      </c>
      <c r="I100" s="2">
        <v>24.6</v>
      </c>
      <c r="J100" s="1241">
        <v>5165.5</v>
      </c>
      <c r="K100" s="1241"/>
      <c r="L100" s="2">
        <v>5165.5</v>
      </c>
      <c r="M100" s="2">
        <v>0</v>
      </c>
      <c r="N100" s="2">
        <v>479.6</v>
      </c>
    </row>
    <row r="101" spans="1:14" ht="25.5">
      <c r="A101" s="5" t="s">
        <v>41</v>
      </c>
      <c r="B101" s="5" t="s">
        <v>10</v>
      </c>
      <c r="C101" s="2">
        <v>295.3</v>
      </c>
      <c r="D101" s="1241">
        <v>25766.2</v>
      </c>
      <c r="E101" s="1241"/>
      <c r="F101" s="2">
        <v>25766.2</v>
      </c>
      <c r="G101" s="2">
        <v>0</v>
      </c>
      <c r="H101" s="2">
        <v>21.6</v>
      </c>
      <c r="I101" s="2">
        <v>13.5</v>
      </c>
      <c r="J101" s="1241">
        <v>1124.5999999999999</v>
      </c>
      <c r="K101" s="1246">
        <f>J101/I101/12*1000</f>
        <v>6941.9753086419751</v>
      </c>
      <c r="L101" s="2">
        <v>1124.5999999999999</v>
      </c>
      <c r="M101" s="2">
        <v>0</v>
      </c>
      <c r="N101" s="2">
        <v>0</v>
      </c>
    </row>
    <row r="102" spans="1:14" ht="25.5">
      <c r="A102" s="5" t="s">
        <v>41</v>
      </c>
      <c r="B102" s="5" t="s">
        <v>52</v>
      </c>
      <c r="C102" s="2">
        <v>13</v>
      </c>
      <c r="D102" s="1241">
        <v>7549.5</v>
      </c>
      <c r="E102" s="1241"/>
      <c r="F102" s="2">
        <v>7549.5</v>
      </c>
      <c r="G102" s="2">
        <v>0</v>
      </c>
      <c r="H102" s="2">
        <v>177.4</v>
      </c>
      <c r="I102" s="2">
        <v>0</v>
      </c>
      <c r="J102" s="1241">
        <v>0</v>
      </c>
      <c r="K102" s="1241"/>
      <c r="L102" s="2">
        <v>0</v>
      </c>
      <c r="M102" s="2">
        <v>0</v>
      </c>
      <c r="N102" s="2">
        <v>0</v>
      </c>
    </row>
    <row r="103" spans="1:14" ht="63.75">
      <c r="A103" s="5" t="s">
        <v>41</v>
      </c>
      <c r="B103" s="5" t="s">
        <v>18</v>
      </c>
      <c r="C103" s="2">
        <v>0.7</v>
      </c>
      <c r="D103" s="1241">
        <v>112.7</v>
      </c>
      <c r="E103" s="1241"/>
      <c r="F103" s="2">
        <v>112.7</v>
      </c>
      <c r="G103" s="2">
        <v>0</v>
      </c>
      <c r="H103" s="2">
        <v>0</v>
      </c>
      <c r="I103" s="2">
        <v>0</v>
      </c>
      <c r="J103" s="1241">
        <v>0</v>
      </c>
      <c r="K103" s="1241"/>
      <c r="L103" s="2">
        <v>0</v>
      </c>
      <c r="M103" s="2">
        <v>0</v>
      </c>
      <c r="N103" s="2">
        <v>0</v>
      </c>
    </row>
    <row r="104" spans="1:14" s="35" customFormat="1" ht="38.25">
      <c r="A104" s="33" t="s">
        <v>27</v>
      </c>
      <c r="B104" s="33" t="s">
        <v>8</v>
      </c>
      <c r="C104" s="34">
        <v>4</v>
      </c>
      <c r="D104" s="1241">
        <v>950.6</v>
      </c>
      <c r="E104" s="1241"/>
      <c r="F104" s="34">
        <v>950.6</v>
      </c>
      <c r="G104" s="34">
        <v>0</v>
      </c>
      <c r="H104" s="34">
        <v>33.299999999999997</v>
      </c>
      <c r="I104" s="34">
        <v>6.3</v>
      </c>
      <c r="J104" s="1241">
        <v>1011.3</v>
      </c>
      <c r="K104" s="1241"/>
      <c r="L104" s="34">
        <v>991.2</v>
      </c>
      <c r="M104" s="34">
        <v>20.100000000000001</v>
      </c>
      <c r="N104" s="34">
        <v>0</v>
      </c>
    </row>
    <row r="105" spans="1:14" s="35" customFormat="1" ht="38.25">
      <c r="A105" s="33" t="s">
        <v>27</v>
      </c>
      <c r="B105" s="33" t="s">
        <v>30</v>
      </c>
      <c r="C105" s="34">
        <v>727.1</v>
      </c>
      <c r="D105" s="1241">
        <v>171579.6</v>
      </c>
      <c r="E105" s="1241"/>
      <c r="F105" s="34">
        <v>170688.8</v>
      </c>
      <c r="G105" s="34">
        <v>890.8</v>
      </c>
      <c r="H105" s="34">
        <v>1629.4</v>
      </c>
      <c r="I105" s="34">
        <v>39.4</v>
      </c>
      <c r="J105" s="1241">
        <v>6116.6</v>
      </c>
      <c r="K105" s="1241"/>
      <c r="L105" s="34">
        <v>5843.3</v>
      </c>
      <c r="M105" s="34">
        <v>273.3</v>
      </c>
      <c r="N105" s="34">
        <v>0</v>
      </c>
    </row>
    <row r="106" spans="1:14" ht="76.5">
      <c r="A106" s="5" t="s">
        <v>27</v>
      </c>
      <c r="B106" s="5" t="s">
        <v>49</v>
      </c>
      <c r="C106" s="2">
        <v>37.5</v>
      </c>
      <c r="D106" s="1241">
        <v>21599</v>
      </c>
      <c r="E106" s="1241"/>
      <c r="F106" s="2">
        <v>21546.400000000001</v>
      </c>
      <c r="G106" s="2">
        <v>52.6</v>
      </c>
      <c r="H106" s="2">
        <v>165</v>
      </c>
      <c r="I106" s="2">
        <v>0</v>
      </c>
      <c r="J106" s="1241">
        <v>0</v>
      </c>
      <c r="K106" s="1241"/>
      <c r="L106" s="2">
        <v>0</v>
      </c>
      <c r="M106" s="2">
        <v>0</v>
      </c>
      <c r="N106" s="2">
        <v>0</v>
      </c>
    </row>
    <row r="107" spans="1:14" ht="25.5">
      <c r="A107" s="5" t="s">
        <v>27</v>
      </c>
      <c r="B107" s="5" t="s">
        <v>17</v>
      </c>
      <c r="C107" s="2">
        <v>141.80000000000001</v>
      </c>
      <c r="D107" s="1241">
        <v>44529.2</v>
      </c>
      <c r="E107" s="1241"/>
      <c r="F107" s="2">
        <v>44312.1</v>
      </c>
      <c r="G107" s="2">
        <v>217.1</v>
      </c>
      <c r="H107" s="2">
        <v>798.6</v>
      </c>
      <c r="I107" s="2">
        <v>3.8</v>
      </c>
      <c r="J107" s="1241">
        <v>793.9</v>
      </c>
      <c r="K107" s="1241"/>
      <c r="L107" s="2">
        <v>771</v>
      </c>
      <c r="M107" s="2">
        <v>22.9</v>
      </c>
      <c r="N107" s="2">
        <v>0</v>
      </c>
    </row>
    <row r="108" spans="1:14" ht="51">
      <c r="A108" s="5" t="s">
        <v>27</v>
      </c>
      <c r="B108" s="5" t="s">
        <v>4</v>
      </c>
      <c r="C108" s="2">
        <v>328.4</v>
      </c>
      <c r="D108" s="1241">
        <v>93782.7</v>
      </c>
      <c r="E108" s="1241"/>
      <c r="F108" s="2">
        <v>93435.4</v>
      </c>
      <c r="G108" s="2">
        <v>347.3</v>
      </c>
      <c r="H108" s="2">
        <v>1301.4000000000001</v>
      </c>
      <c r="I108" s="2">
        <v>22.3</v>
      </c>
      <c r="J108" s="1241">
        <v>3727.5</v>
      </c>
      <c r="K108" s="1241"/>
      <c r="L108" s="2">
        <v>3606</v>
      </c>
      <c r="M108" s="2">
        <v>121.5</v>
      </c>
      <c r="N108" s="2">
        <v>0</v>
      </c>
    </row>
    <row r="109" spans="1:14" ht="25.5">
      <c r="A109" s="5" t="s">
        <v>27</v>
      </c>
      <c r="B109" s="5" t="s">
        <v>10</v>
      </c>
      <c r="C109" s="2">
        <v>324.7</v>
      </c>
      <c r="D109" s="1241">
        <v>44458.400000000001</v>
      </c>
      <c r="E109" s="1263">
        <f>ROUND((D109+D110)/(C109+C110)/12*1000,1)</f>
        <v>11418.2</v>
      </c>
      <c r="F109" s="2">
        <v>43967.5</v>
      </c>
      <c r="G109" s="2">
        <v>490.9</v>
      </c>
      <c r="H109" s="2">
        <v>43.4</v>
      </c>
      <c r="I109" s="2">
        <v>10.199999999999999</v>
      </c>
      <c r="J109" s="1241">
        <v>1246.4000000000001</v>
      </c>
      <c r="K109" s="1263">
        <f>ROUND((J109+J110)/(I109+I110)/12*1000,1)</f>
        <v>10183</v>
      </c>
      <c r="L109" s="2">
        <v>1176</v>
      </c>
      <c r="M109" s="2">
        <v>70.400000000000006</v>
      </c>
      <c r="N109" s="2">
        <v>0</v>
      </c>
    </row>
    <row r="110" spans="1:14" ht="25.5">
      <c r="A110" s="5" t="s">
        <v>27</v>
      </c>
      <c r="B110" s="5" t="s">
        <v>23</v>
      </c>
      <c r="C110" s="2">
        <v>1</v>
      </c>
      <c r="D110" s="1241">
        <v>168.4</v>
      </c>
      <c r="E110" s="1241"/>
      <c r="F110" s="2">
        <v>168.4</v>
      </c>
      <c r="G110" s="2">
        <v>0</v>
      </c>
      <c r="H110" s="2">
        <v>0</v>
      </c>
      <c r="I110" s="2">
        <v>0</v>
      </c>
      <c r="J110" s="1241">
        <v>0</v>
      </c>
      <c r="K110" s="1241"/>
      <c r="L110" s="2">
        <v>0</v>
      </c>
      <c r="M110" s="2">
        <v>0</v>
      </c>
      <c r="N110" s="2">
        <v>0</v>
      </c>
    </row>
    <row r="111" spans="1:14" ht="25.5">
      <c r="A111" s="5" t="s">
        <v>27</v>
      </c>
      <c r="B111" s="5" t="s">
        <v>52</v>
      </c>
      <c r="C111" s="2">
        <v>8.6999999999999993</v>
      </c>
      <c r="D111" s="1241">
        <v>6017.9</v>
      </c>
      <c r="E111" s="1241"/>
      <c r="F111" s="2">
        <v>6017.9</v>
      </c>
      <c r="G111" s="2">
        <v>0</v>
      </c>
      <c r="H111" s="2">
        <v>29.6</v>
      </c>
      <c r="I111" s="2">
        <v>0</v>
      </c>
      <c r="J111" s="1241">
        <v>0</v>
      </c>
      <c r="K111" s="1241"/>
      <c r="L111" s="2">
        <v>0</v>
      </c>
      <c r="M111" s="2">
        <v>0</v>
      </c>
      <c r="N111" s="2">
        <v>0</v>
      </c>
    </row>
    <row r="112" spans="1:14" ht="63.75">
      <c r="A112" s="5" t="s">
        <v>27</v>
      </c>
      <c r="B112" s="5" t="s">
        <v>18</v>
      </c>
      <c r="C112" s="2">
        <v>22.8</v>
      </c>
      <c r="D112" s="1241">
        <v>4602.6000000000004</v>
      </c>
      <c r="E112" s="1241"/>
      <c r="F112" s="2">
        <v>4602.6000000000004</v>
      </c>
      <c r="G112" s="2">
        <v>0</v>
      </c>
      <c r="H112" s="2">
        <v>56.7</v>
      </c>
      <c r="I112" s="2">
        <v>0.6</v>
      </c>
      <c r="J112" s="1241">
        <v>131.4</v>
      </c>
      <c r="K112" s="1241"/>
      <c r="L112" s="2">
        <v>70.099999999999994</v>
      </c>
      <c r="M112" s="2">
        <v>61.3</v>
      </c>
      <c r="N112" s="2">
        <v>0</v>
      </c>
    </row>
    <row r="113" spans="1:14" s="683" customFormat="1" ht="38.25">
      <c r="A113" s="681" t="s">
        <v>51</v>
      </c>
      <c r="B113" s="681" t="s">
        <v>30</v>
      </c>
      <c r="C113" s="682">
        <v>84.6</v>
      </c>
      <c r="D113" s="1241">
        <v>16168.2</v>
      </c>
      <c r="E113" s="1241"/>
      <c r="F113" s="682">
        <v>16168.2</v>
      </c>
      <c r="G113" s="682">
        <v>0</v>
      </c>
      <c r="H113" s="682">
        <v>644.6</v>
      </c>
      <c r="I113" s="682">
        <v>0.6</v>
      </c>
      <c r="J113" s="1241">
        <v>78</v>
      </c>
      <c r="K113" s="1241"/>
      <c r="L113" s="682">
        <v>78</v>
      </c>
      <c r="M113" s="682">
        <v>0</v>
      </c>
      <c r="N113" s="682">
        <v>0</v>
      </c>
    </row>
    <row r="114" spans="1:14" ht="76.5">
      <c r="A114" s="5" t="s">
        <v>51</v>
      </c>
      <c r="B114" s="5" t="s">
        <v>49</v>
      </c>
      <c r="C114" s="2">
        <v>2.5</v>
      </c>
      <c r="D114" s="1241">
        <v>526.29999999999995</v>
      </c>
      <c r="E114" s="1241"/>
      <c r="F114" s="2">
        <v>526.29999999999995</v>
      </c>
      <c r="G114" s="2">
        <v>0</v>
      </c>
      <c r="H114" s="2">
        <v>0</v>
      </c>
      <c r="I114" s="2">
        <v>0</v>
      </c>
      <c r="J114" s="1241">
        <v>0</v>
      </c>
      <c r="K114" s="1241"/>
      <c r="L114" s="2">
        <v>0</v>
      </c>
      <c r="M114" s="2">
        <v>0</v>
      </c>
      <c r="N114" s="2">
        <v>0</v>
      </c>
    </row>
    <row r="115" spans="1:14" ht="25.5">
      <c r="A115" s="5" t="s">
        <v>51</v>
      </c>
      <c r="B115" s="5" t="s">
        <v>17</v>
      </c>
      <c r="C115" s="2">
        <v>39</v>
      </c>
      <c r="D115" s="1241">
        <v>10558.5</v>
      </c>
      <c r="E115" s="1241"/>
      <c r="F115" s="2">
        <v>10558.5</v>
      </c>
      <c r="G115" s="2">
        <v>0</v>
      </c>
      <c r="H115" s="2">
        <v>644.6</v>
      </c>
      <c r="I115" s="2">
        <v>0.3</v>
      </c>
      <c r="J115" s="1241">
        <v>51.3</v>
      </c>
      <c r="K115" s="1241"/>
      <c r="L115" s="2">
        <v>51.3</v>
      </c>
      <c r="M115" s="2">
        <v>0</v>
      </c>
      <c r="N115" s="2">
        <v>0</v>
      </c>
    </row>
    <row r="116" spans="1:14" ht="51">
      <c r="A116" s="5" t="s">
        <v>51</v>
      </c>
      <c r="B116" s="5" t="s">
        <v>4</v>
      </c>
      <c r="C116" s="2">
        <v>39.299999999999997</v>
      </c>
      <c r="D116" s="1241">
        <v>10699.8</v>
      </c>
      <c r="E116" s="1241"/>
      <c r="F116" s="2">
        <v>10699.8</v>
      </c>
      <c r="G116" s="2">
        <v>0</v>
      </c>
      <c r="H116" s="2">
        <v>644.6</v>
      </c>
      <c r="I116" s="2">
        <v>0.3</v>
      </c>
      <c r="J116" s="1241">
        <v>51.3</v>
      </c>
      <c r="K116" s="1241"/>
      <c r="L116" s="2">
        <v>51.3</v>
      </c>
      <c r="M116" s="2">
        <v>0</v>
      </c>
      <c r="N116" s="2">
        <v>0</v>
      </c>
    </row>
    <row r="117" spans="1:14" ht="25.5">
      <c r="A117" s="5" t="s">
        <v>51</v>
      </c>
      <c r="B117" s="5" t="s">
        <v>10</v>
      </c>
      <c r="C117" s="2">
        <v>39.299999999999997</v>
      </c>
      <c r="D117" s="1241">
        <v>4022.9</v>
      </c>
      <c r="E117" s="1241"/>
      <c r="F117" s="2">
        <v>4022.9</v>
      </c>
      <c r="G117" s="2">
        <v>0</v>
      </c>
      <c r="H117" s="2">
        <v>0</v>
      </c>
      <c r="I117" s="2">
        <v>0.3</v>
      </c>
      <c r="J117" s="1241">
        <v>26.7</v>
      </c>
      <c r="K117" s="1246">
        <f>J117/I117/12*1000</f>
        <v>7416.666666666667</v>
      </c>
      <c r="L117" s="2">
        <v>26.7</v>
      </c>
      <c r="M117" s="2">
        <v>0</v>
      </c>
      <c r="N117" s="2">
        <v>0</v>
      </c>
    </row>
    <row r="118" spans="1:14" ht="25.5">
      <c r="A118" s="5" t="s">
        <v>51</v>
      </c>
      <c r="B118" s="5" t="s">
        <v>52</v>
      </c>
      <c r="C118" s="2">
        <v>3</v>
      </c>
      <c r="D118" s="1241">
        <v>876.8</v>
      </c>
      <c r="E118" s="1241"/>
      <c r="F118" s="2">
        <v>876.8</v>
      </c>
      <c r="G118" s="2">
        <v>0</v>
      </c>
      <c r="H118" s="2">
        <v>0</v>
      </c>
      <c r="I118" s="2">
        <v>0</v>
      </c>
      <c r="J118" s="1241">
        <v>0</v>
      </c>
      <c r="K118" s="1241"/>
      <c r="L118" s="2">
        <v>0</v>
      </c>
      <c r="M118" s="2">
        <v>0</v>
      </c>
      <c r="N118" s="2">
        <v>0</v>
      </c>
    </row>
    <row r="119" spans="1:14" ht="63.75">
      <c r="A119" s="5" t="s">
        <v>51</v>
      </c>
      <c r="B119" s="5" t="s">
        <v>18</v>
      </c>
      <c r="C119" s="2">
        <v>0.5</v>
      </c>
      <c r="D119" s="1241">
        <v>42.4</v>
      </c>
      <c r="E119" s="1241"/>
      <c r="F119" s="2">
        <v>42.4</v>
      </c>
      <c r="G119" s="2">
        <v>0</v>
      </c>
      <c r="H119" s="2">
        <v>0</v>
      </c>
      <c r="I119" s="2">
        <v>0</v>
      </c>
      <c r="J119" s="1241">
        <v>0</v>
      </c>
      <c r="K119" s="1241"/>
      <c r="L119" s="2">
        <v>0</v>
      </c>
      <c r="M119" s="2">
        <v>0</v>
      </c>
      <c r="N119" s="2">
        <v>0</v>
      </c>
    </row>
    <row r="120" spans="1:14" s="24" customFormat="1" ht="38.25">
      <c r="A120" s="22" t="s">
        <v>11</v>
      </c>
      <c r="B120" s="22" t="s">
        <v>30</v>
      </c>
      <c r="C120" s="23">
        <v>454.1</v>
      </c>
      <c r="D120" s="1241">
        <v>111085.6</v>
      </c>
      <c r="E120" s="1241"/>
      <c r="F120" s="23">
        <v>111085.6</v>
      </c>
      <c r="G120" s="23">
        <v>0</v>
      </c>
      <c r="H120" s="23">
        <v>1990</v>
      </c>
      <c r="I120" s="23">
        <v>29.4</v>
      </c>
      <c r="J120" s="1241">
        <v>3158</v>
      </c>
      <c r="K120" s="1241"/>
      <c r="L120" s="23">
        <v>3158</v>
      </c>
      <c r="M120" s="23">
        <v>0</v>
      </c>
      <c r="N120" s="23">
        <v>0</v>
      </c>
    </row>
    <row r="121" spans="1:14" ht="76.5">
      <c r="A121" s="5" t="s">
        <v>11</v>
      </c>
      <c r="B121" s="5" t="s">
        <v>49</v>
      </c>
      <c r="C121" s="2">
        <v>34.6</v>
      </c>
      <c r="D121" s="1241">
        <v>14291.2</v>
      </c>
      <c r="E121" s="1241"/>
      <c r="F121" s="2">
        <v>14291.2</v>
      </c>
      <c r="G121" s="2">
        <v>0</v>
      </c>
      <c r="H121" s="2">
        <v>199.3</v>
      </c>
      <c r="I121" s="2">
        <v>0.2</v>
      </c>
      <c r="J121" s="1241">
        <v>64.8</v>
      </c>
      <c r="K121" s="1241"/>
      <c r="L121" s="2">
        <v>64.8</v>
      </c>
      <c r="M121" s="2">
        <v>0</v>
      </c>
      <c r="N121" s="2">
        <v>0</v>
      </c>
    </row>
    <row r="122" spans="1:14">
      <c r="A122" s="5" t="s">
        <v>11</v>
      </c>
      <c r="B122" s="5" t="s">
        <v>17</v>
      </c>
      <c r="C122" s="2">
        <v>220.1</v>
      </c>
      <c r="D122" s="1241">
        <v>63333.599999999999</v>
      </c>
      <c r="E122" s="1241"/>
      <c r="F122" s="2">
        <v>63333.599999999999</v>
      </c>
      <c r="G122" s="2">
        <v>0</v>
      </c>
      <c r="H122" s="2">
        <v>1552.4</v>
      </c>
      <c r="I122" s="2">
        <v>5</v>
      </c>
      <c r="J122" s="1241">
        <v>555.70000000000005</v>
      </c>
      <c r="K122" s="1241"/>
      <c r="L122" s="2">
        <v>555.70000000000005</v>
      </c>
      <c r="M122" s="2">
        <v>0</v>
      </c>
      <c r="N122" s="2">
        <v>0</v>
      </c>
    </row>
    <row r="123" spans="1:14" ht="51">
      <c r="A123" s="5" t="s">
        <v>11</v>
      </c>
      <c r="B123" s="5" t="s">
        <v>1</v>
      </c>
      <c r="C123" s="2">
        <v>5.7</v>
      </c>
      <c r="D123" s="1241">
        <v>1261</v>
      </c>
      <c r="E123" s="1241"/>
      <c r="F123" s="2">
        <v>1261</v>
      </c>
      <c r="G123" s="2">
        <v>0</v>
      </c>
      <c r="H123" s="2">
        <v>57</v>
      </c>
      <c r="I123" s="2">
        <v>0</v>
      </c>
      <c r="J123" s="1241">
        <v>0</v>
      </c>
      <c r="K123" s="1241"/>
      <c r="L123" s="2">
        <v>0</v>
      </c>
      <c r="M123" s="2">
        <v>0</v>
      </c>
      <c r="N123" s="2">
        <v>0</v>
      </c>
    </row>
    <row r="124" spans="1:14" ht="51">
      <c r="A124" s="5" t="s">
        <v>11</v>
      </c>
      <c r="B124" s="5" t="s">
        <v>4</v>
      </c>
      <c r="C124" s="2">
        <v>243.6</v>
      </c>
      <c r="D124" s="1241">
        <v>68760.600000000006</v>
      </c>
      <c r="E124" s="1241"/>
      <c r="F124" s="2">
        <v>68760.600000000006</v>
      </c>
      <c r="G124" s="2">
        <v>0</v>
      </c>
      <c r="H124" s="2">
        <v>1622.9</v>
      </c>
      <c r="I124" s="2">
        <v>7.2</v>
      </c>
      <c r="J124" s="1241">
        <v>882.6</v>
      </c>
      <c r="K124" s="1241"/>
      <c r="L124" s="2">
        <v>882.6</v>
      </c>
      <c r="M124" s="2">
        <v>0</v>
      </c>
      <c r="N124" s="2">
        <v>0</v>
      </c>
    </row>
    <row r="125" spans="1:14">
      <c r="A125" s="5" t="s">
        <v>11</v>
      </c>
      <c r="B125" s="5" t="s">
        <v>10</v>
      </c>
      <c r="C125" s="2">
        <v>158.69999999999999</v>
      </c>
      <c r="D125" s="1263">
        <v>21626.799999999999</v>
      </c>
      <c r="E125" s="1263">
        <f>ROUND((D125+D126)/(C125+C126)/12*1000,1)</f>
        <v>11537.6</v>
      </c>
      <c r="F125" s="2">
        <v>21626.799999999999</v>
      </c>
      <c r="G125" s="2">
        <v>0</v>
      </c>
      <c r="H125" s="2">
        <v>0</v>
      </c>
      <c r="I125" s="2">
        <v>22</v>
      </c>
      <c r="J125" s="1241">
        <v>2210.6</v>
      </c>
      <c r="K125" s="1263">
        <f>ROUND((J125+J126)/(I125+I126)/12*1000,1)</f>
        <v>8373.5</v>
      </c>
      <c r="L125" s="2">
        <v>2210.6</v>
      </c>
      <c r="M125" s="2">
        <v>0</v>
      </c>
      <c r="N125" s="2">
        <v>0</v>
      </c>
    </row>
    <row r="126" spans="1:14">
      <c r="A126" s="5" t="s">
        <v>11</v>
      </c>
      <c r="B126" s="5" t="s">
        <v>23</v>
      </c>
      <c r="C126" s="2">
        <v>3.5</v>
      </c>
      <c r="D126" s="1263">
        <v>829.9</v>
      </c>
      <c r="E126" s="1241"/>
      <c r="F126" s="2">
        <v>829.9</v>
      </c>
      <c r="G126" s="2">
        <v>0</v>
      </c>
      <c r="H126" s="2">
        <v>30.3</v>
      </c>
      <c r="I126" s="2">
        <v>0</v>
      </c>
      <c r="J126" s="1241">
        <v>0</v>
      </c>
      <c r="K126" s="1241"/>
      <c r="L126" s="2">
        <v>0</v>
      </c>
      <c r="M126" s="2">
        <v>0</v>
      </c>
      <c r="N126" s="2">
        <v>0</v>
      </c>
    </row>
    <row r="127" spans="1:14">
      <c r="A127" s="5" t="s">
        <v>11</v>
      </c>
      <c r="B127" s="5" t="s">
        <v>52</v>
      </c>
      <c r="C127" s="2">
        <v>8</v>
      </c>
      <c r="D127" s="1241">
        <v>4316.1000000000004</v>
      </c>
      <c r="E127" s="1241"/>
      <c r="F127" s="2">
        <v>4316.1000000000004</v>
      </c>
      <c r="G127" s="2">
        <v>0</v>
      </c>
      <c r="H127" s="2">
        <v>80.5</v>
      </c>
      <c r="I127" s="2">
        <v>0</v>
      </c>
      <c r="J127" s="1241">
        <v>0</v>
      </c>
      <c r="K127" s="1241"/>
      <c r="L127" s="2">
        <v>0</v>
      </c>
      <c r="M127" s="2">
        <v>0</v>
      </c>
      <c r="N127" s="2">
        <v>0</v>
      </c>
    </row>
    <row r="128" spans="1:14" s="24" customFormat="1" ht="38.25">
      <c r="A128" s="22" t="s">
        <v>16</v>
      </c>
      <c r="B128" s="22" t="s">
        <v>30</v>
      </c>
      <c r="C128" s="23">
        <v>183.4</v>
      </c>
      <c r="D128" s="1241">
        <v>41107.800000000003</v>
      </c>
      <c r="E128" s="1241"/>
      <c r="F128" s="23">
        <v>41107.800000000003</v>
      </c>
      <c r="G128" s="23">
        <v>0</v>
      </c>
      <c r="H128" s="23">
        <v>1916.2</v>
      </c>
      <c r="I128" s="23">
        <v>1</v>
      </c>
      <c r="J128" s="1241">
        <v>162.4</v>
      </c>
      <c r="K128" s="1241"/>
      <c r="L128" s="23">
        <v>162.4</v>
      </c>
      <c r="M128" s="23">
        <v>0</v>
      </c>
      <c r="N128" s="23">
        <v>0</v>
      </c>
    </row>
    <row r="129" spans="1:14" ht="24.6" customHeight="1">
      <c r="A129" s="5" t="s">
        <v>16</v>
      </c>
      <c r="B129" s="5" t="s">
        <v>49</v>
      </c>
      <c r="C129" s="2">
        <v>7.3</v>
      </c>
      <c r="D129" s="1241">
        <v>2808.1</v>
      </c>
      <c r="E129" s="1241"/>
      <c r="F129" s="2">
        <v>2808.1</v>
      </c>
      <c r="G129" s="2">
        <v>0</v>
      </c>
      <c r="H129" s="2">
        <v>127.5</v>
      </c>
      <c r="I129" s="2">
        <v>0</v>
      </c>
      <c r="J129" s="1241">
        <v>0</v>
      </c>
      <c r="K129" s="1241"/>
      <c r="L129" s="2">
        <v>0</v>
      </c>
      <c r="M129" s="2">
        <v>0</v>
      </c>
      <c r="N129" s="2">
        <v>0</v>
      </c>
    </row>
    <row r="130" spans="1:14" ht="25.5">
      <c r="A130" s="5" t="s">
        <v>16</v>
      </c>
      <c r="B130" s="5" t="s">
        <v>17</v>
      </c>
      <c r="C130" s="2">
        <v>82.3</v>
      </c>
      <c r="D130" s="1241">
        <v>24074</v>
      </c>
      <c r="E130" s="1241"/>
      <c r="F130" s="2">
        <v>24074</v>
      </c>
      <c r="G130" s="2">
        <v>0</v>
      </c>
      <c r="H130" s="2">
        <v>1472</v>
      </c>
      <c r="I130" s="2">
        <v>1</v>
      </c>
      <c r="J130" s="1241">
        <v>162.4</v>
      </c>
      <c r="K130" s="1241"/>
      <c r="L130" s="2">
        <v>162.4</v>
      </c>
      <c r="M130" s="2">
        <v>0</v>
      </c>
      <c r="N130" s="2">
        <v>0</v>
      </c>
    </row>
    <row r="131" spans="1:14" ht="28.9" customHeight="1">
      <c r="A131" s="5" t="s">
        <v>16</v>
      </c>
      <c r="B131" s="5" t="s">
        <v>1</v>
      </c>
      <c r="C131" s="2">
        <v>3.9</v>
      </c>
      <c r="D131" s="1241">
        <v>776.7</v>
      </c>
      <c r="E131" s="1241"/>
      <c r="F131" s="2">
        <v>776.7</v>
      </c>
      <c r="G131" s="2">
        <v>0</v>
      </c>
      <c r="H131" s="2">
        <v>57.6</v>
      </c>
      <c r="I131" s="2">
        <v>0</v>
      </c>
      <c r="J131" s="1241">
        <v>0</v>
      </c>
      <c r="K131" s="1241"/>
      <c r="L131" s="2">
        <v>0</v>
      </c>
      <c r="M131" s="2">
        <v>0</v>
      </c>
      <c r="N131" s="2">
        <v>0</v>
      </c>
    </row>
    <row r="132" spans="1:14" ht="51">
      <c r="A132" s="5" t="s">
        <v>16</v>
      </c>
      <c r="B132" s="5" t="s">
        <v>4</v>
      </c>
      <c r="C132" s="2">
        <v>88.5</v>
      </c>
      <c r="D132" s="1241">
        <v>25582.9</v>
      </c>
      <c r="E132" s="1241"/>
      <c r="F132" s="2">
        <v>25582.9</v>
      </c>
      <c r="G132" s="2">
        <v>0</v>
      </c>
      <c r="H132" s="2">
        <v>1621.4</v>
      </c>
      <c r="I132" s="2">
        <v>1</v>
      </c>
      <c r="J132" s="1241">
        <v>162.4</v>
      </c>
      <c r="K132" s="1241"/>
      <c r="L132" s="2">
        <v>162.4</v>
      </c>
      <c r="M132" s="2">
        <v>0</v>
      </c>
      <c r="N132" s="2">
        <v>0</v>
      </c>
    </row>
    <row r="133" spans="1:14" ht="25.5">
      <c r="A133" s="5" t="s">
        <v>16</v>
      </c>
      <c r="B133" s="5" t="s">
        <v>10</v>
      </c>
      <c r="C133" s="2">
        <v>77.7</v>
      </c>
      <c r="D133" s="1241">
        <v>9197.1</v>
      </c>
      <c r="E133" s="1241"/>
      <c r="F133" s="2">
        <v>9197.1</v>
      </c>
      <c r="G133" s="2">
        <v>0</v>
      </c>
      <c r="H133" s="2">
        <v>9.5</v>
      </c>
      <c r="I133" s="2">
        <v>0</v>
      </c>
      <c r="J133" s="1241">
        <v>0</v>
      </c>
      <c r="K133" s="1246" t="e">
        <f>J133/I133/12*1000</f>
        <v>#DIV/0!</v>
      </c>
      <c r="L133" s="2">
        <v>0</v>
      </c>
      <c r="M133" s="2">
        <v>0</v>
      </c>
      <c r="N133" s="2">
        <v>0</v>
      </c>
    </row>
    <row r="134" spans="1:14" ht="25.5">
      <c r="A134" s="5" t="s">
        <v>16</v>
      </c>
      <c r="B134" s="5" t="s">
        <v>52</v>
      </c>
      <c r="C134" s="2">
        <v>5</v>
      </c>
      <c r="D134" s="1241">
        <v>2530.9</v>
      </c>
      <c r="E134" s="1241"/>
      <c r="F134" s="2">
        <v>2530.9</v>
      </c>
      <c r="G134" s="2">
        <v>0</v>
      </c>
      <c r="H134" s="2">
        <v>83</v>
      </c>
      <c r="I134" s="2">
        <v>0</v>
      </c>
      <c r="J134" s="1241">
        <v>0</v>
      </c>
      <c r="K134" s="1241"/>
      <c r="L134" s="2">
        <v>0</v>
      </c>
      <c r="M134" s="2">
        <v>0</v>
      </c>
      <c r="N134" s="2">
        <v>0</v>
      </c>
    </row>
    <row r="135" spans="1:14" ht="63.75">
      <c r="A135" s="5" t="s">
        <v>16</v>
      </c>
      <c r="B135" s="5" t="s">
        <v>18</v>
      </c>
      <c r="C135" s="2">
        <v>1</v>
      </c>
      <c r="D135" s="1241">
        <v>212.1</v>
      </c>
      <c r="E135" s="1241"/>
      <c r="F135" s="2">
        <v>212.1</v>
      </c>
      <c r="G135" s="2">
        <v>0</v>
      </c>
      <c r="H135" s="2">
        <v>17.2</v>
      </c>
      <c r="I135" s="2">
        <v>0</v>
      </c>
      <c r="J135" s="1241">
        <v>0</v>
      </c>
      <c r="K135" s="1241"/>
      <c r="L135" s="2">
        <v>0</v>
      </c>
      <c r="M135" s="2">
        <v>0</v>
      </c>
      <c r="N135" s="2">
        <v>0</v>
      </c>
    </row>
    <row r="136" spans="1:14" s="24" customFormat="1" ht="38.25">
      <c r="A136" s="22" t="s">
        <v>14</v>
      </c>
      <c r="B136" s="22" t="s">
        <v>30</v>
      </c>
      <c r="C136" s="23">
        <v>499.1</v>
      </c>
      <c r="D136" s="1241">
        <v>116176.7</v>
      </c>
      <c r="E136" s="1241"/>
      <c r="F136" s="23">
        <v>116176.7</v>
      </c>
      <c r="G136" s="23">
        <v>0</v>
      </c>
      <c r="H136" s="23">
        <v>2474.3000000000002</v>
      </c>
      <c r="I136" s="23">
        <v>15</v>
      </c>
      <c r="J136" s="1241">
        <v>1877.9</v>
      </c>
      <c r="K136" s="1241"/>
      <c r="L136" s="23">
        <v>1877.9</v>
      </c>
      <c r="M136" s="23">
        <v>0</v>
      </c>
      <c r="N136" s="23">
        <v>18.399999999999999</v>
      </c>
    </row>
    <row r="137" spans="1:14" ht="30.6" customHeight="1">
      <c r="A137" s="5" t="s">
        <v>14</v>
      </c>
      <c r="B137" s="5" t="s">
        <v>49</v>
      </c>
      <c r="C137" s="2">
        <v>41.8</v>
      </c>
      <c r="D137" s="1241">
        <v>17486.7</v>
      </c>
      <c r="E137" s="1241"/>
      <c r="F137" s="2">
        <v>17486.7</v>
      </c>
      <c r="G137" s="2">
        <v>0</v>
      </c>
      <c r="H137" s="2">
        <v>229</v>
      </c>
      <c r="I137" s="2">
        <v>0.4</v>
      </c>
      <c r="J137" s="1241">
        <v>139.80000000000001</v>
      </c>
      <c r="K137" s="1241"/>
      <c r="L137" s="2">
        <v>139.80000000000001</v>
      </c>
      <c r="M137" s="2">
        <v>0</v>
      </c>
      <c r="N137" s="2">
        <v>0</v>
      </c>
    </row>
    <row r="138" spans="1:14" ht="25.5">
      <c r="A138" s="5" t="s">
        <v>14</v>
      </c>
      <c r="B138" s="5" t="s">
        <v>17</v>
      </c>
      <c r="C138" s="2">
        <v>229.6</v>
      </c>
      <c r="D138" s="1241">
        <v>61596.5</v>
      </c>
      <c r="E138" s="1241"/>
      <c r="F138" s="2">
        <v>61596.5</v>
      </c>
      <c r="G138" s="2">
        <v>0</v>
      </c>
      <c r="H138" s="2">
        <v>1807.8</v>
      </c>
      <c r="I138" s="2">
        <v>3.9</v>
      </c>
      <c r="J138" s="1241">
        <v>621.29999999999995</v>
      </c>
      <c r="K138" s="1241"/>
      <c r="L138" s="2">
        <v>621.29999999999995</v>
      </c>
      <c r="M138" s="2">
        <v>0</v>
      </c>
      <c r="N138" s="2">
        <v>18.399999999999999</v>
      </c>
    </row>
    <row r="139" spans="1:14" ht="51">
      <c r="A139" s="5" t="s">
        <v>14</v>
      </c>
      <c r="B139" s="5" t="s">
        <v>1</v>
      </c>
      <c r="C139" s="2">
        <v>7.3</v>
      </c>
      <c r="D139" s="1241">
        <v>1447.6</v>
      </c>
      <c r="E139" s="1241"/>
      <c r="F139" s="2">
        <v>1447.6</v>
      </c>
      <c r="G139" s="2">
        <v>0</v>
      </c>
      <c r="H139" s="2">
        <v>68.7</v>
      </c>
      <c r="I139" s="2">
        <v>0</v>
      </c>
      <c r="J139" s="1241">
        <v>0</v>
      </c>
      <c r="K139" s="1241"/>
      <c r="L139" s="2">
        <v>0</v>
      </c>
      <c r="M139" s="2">
        <v>0</v>
      </c>
      <c r="N139" s="2">
        <v>0</v>
      </c>
    </row>
    <row r="140" spans="1:14" ht="25.15" customHeight="1">
      <c r="A140" s="5" t="s">
        <v>14</v>
      </c>
      <c r="B140" s="5" t="s">
        <v>4</v>
      </c>
      <c r="C140" s="2">
        <v>244.8</v>
      </c>
      <c r="D140" s="1241">
        <v>65110.5</v>
      </c>
      <c r="E140" s="1241"/>
      <c r="F140" s="2">
        <v>65110.5</v>
      </c>
      <c r="G140" s="2">
        <v>0</v>
      </c>
      <c r="H140" s="2">
        <v>2007.6</v>
      </c>
      <c r="I140" s="2">
        <v>5.0999999999999996</v>
      </c>
      <c r="J140" s="1241">
        <v>735.4</v>
      </c>
      <c r="K140" s="1241"/>
      <c r="L140" s="2">
        <v>735.4</v>
      </c>
      <c r="M140" s="2">
        <v>0</v>
      </c>
      <c r="N140" s="2">
        <v>18.399999999999999</v>
      </c>
    </row>
    <row r="141" spans="1:14" ht="25.5">
      <c r="A141" s="5" t="s">
        <v>14</v>
      </c>
      <c r="B141" s="5" t="s">
        <v>10</v>
      </c>
      <c r="C141" s="2">
        <v>190.2</v>
      </c>
      <c r="D141" s="1241">
        <v>23301.7</v>
      </c>
      <c r="E141" s="1241"/>
      <c r="F141" s="2">
        <v>23301.7</v>
      </c>
      <c r="G141" s="2">
        <v>0</v>
      </c>
      <c r="H141" s="2">
        <v>0</v>
      </c>
      <c r="I141" s="2">
        <v>9.5</v>
      </c>
      <c r="J141" s="1241">
        <v>1002.7</v>
      </c>
      <c r="K141" s="1246">
        <f>J141/I141/12*1000</f>
        <v>8795.6140350877195</v>
      </c>
      <c r="L141" s="2">
        <v>1002.7</v>
      </c>
      <c r="M141" s="2">
        <v>0</v>
      </c>
      <c r="N141" s="2">
        <v>0</v>
      </c>
    </row>
    <row r="142" spans="1:14" ht="25.5">
      <c r="A142" s="5" t="s">
        <v>14</v>
      </c>
      <c r="B142" s="5" t="s">
        <v>52</v>
      </c>
      <c r="C142" s="2">
        <v>15</v>
      </c>
      <c r="D142" s="1241">
        <v>8830.2000000000007</v>
      </c>
      <c r="E142" s="1241"/>
      <c r="F142" s="2">
        <v>8830.2000000000007</v>
      </c>
      <c r="G142" s="2">
        <v>0</v>
      </c>
      <c r="H142" s="2">
        <v>169</v>
      </c>
      <c r="I142" s="2">
        <v>0</v>
      </c>
      <c r="J142" s="1241">
        <v>0</v>
      </c>
      <c r="K142" s="1241"/>
      <c r="L142" s="2">
        <v>0</v>
      </c>
      <c r="M142" s="2">
        <v>0</v>
      </c>
      <c r="N142" s="2">
        <v>0</v>
      </c>
    </row>
    <row r="143" spans="1:14" s="24" customFormat="1" ht="38.25">
      <c r="A143" s="22" t="s">
        <v>46</v>
      </c>
      <c r="B143" s="22" t="s">
        <v>30</v>
      </c>
      <c r="C143" s="23">
        <v>372.6</v>
      </c>
      <c r="D143" s="1241">
        <v>90071.9</v>
      </c>
      <c r="E143" s="1241"/>
      <c r="F143" s="23">
        <v>90071.9</v>
      </c>
      <c r="G143" s="23">
        <v>0</v>
      </c>
      <c r="H143" s="23">
        <v>1164.7</v>
      </c>
      <c r="I143" s="23">
        <v>4.3</v>
      </c>
      <c r="J143" s="1241">
        <v>519</v>
      </c>
      <c r="K143" s="1241"/>
      <c r="L143" s="23">
        <v>519</v>
      </c>
      <c r="M143" s="23">
        <v>0</v>
      </c>
      <c r="N143" s="23">
        <v>0</v>
      </c>
    </row>
    <row r="144" spans="1:14" ht="76.5">
      <c r="A144" s="5" t="s">
        <v>46</v>
      </c>
      <c r="B144" s="5" t="s">
        <v>49</v>
      </c>
      <c r="C144" s="2">
        <v>28</v>
      </c>
      <c r="D144" s="1241">
        <v>15497</v>
      </c>
      <c r="E144" s="1241"/>
      <c r="F144" s="2">
        <v>15497</v>
      </c>
      <c r="G144" s="2">
        <v>0</v>
      </c>
      <c r="H144" s="2">
        <v>0</v>
      </c>
      <c r="I144" s="2">
        <v>0</v>
      </c>
      <c r="J144" s="1241">
        <v>0</v>
      </c>
      <c r="K144" s="1241"/>
      <c r="L144" s="2">
        <v>0</v>
      </c>
      <c r="M144" s="2">
        <v>0</v>
      </c>
      <c r="N144" s="2">
        <v>0</v>
      </c>
    </row>
    <row r="145" spans="1:14">
      <c r="A145" s="5" t="s">
        <v>46</v>
      </c>
      <c r="B145" s="5" t="s">
        <v>17</v>
      </c>
      <c r="C145" s="2">
        <v>186</v>
      </c>
      <c r="D145" s="1241">
        <v>52642.8</v>
      </c>
      <c r="E145" s="1241"/>
      <c r="F145" s="2">
        <v>52642.8</v>
      </c>
      <c r="G145" s="2">
        <v>0</v>
      </c>
      <c r="H145" s="2">
        <v>1164.7</v>
      </c>
      <c r="I145" s="2">
        <v>3.6</v>
      </c>
      <c r="J145" s="1241">
        <v>438.4</v>
      </c>
      <c r="K145" s="1241"/>
      <c r="L145" s="2">
        <v>438.4</v>
      </c>
      <c r="M145" s="2">
        <v>0</v>
      </c>
      <c r="N145" s="2">
        <v>0</v>
      </c>
    </row>
    <row r="146" spans="1:14" ht="51">
      <c r="A146" s="5" t="s">
        <v>46</v>
      </c>
      <c r="B146" s="5" t="s">
        <v>4</v>
      </c>
      <c r="C146" s="2">
        <v>195.6</v>
      </c>
      <c r="D146" s="1241">
        <v>54429.3</v>
      </c>
      <c r="E146" s="1241"/>
      <c r="F146" s="2">
        <v>54429.3</v>
      </c>
      <c r="G146" s="2">
        <v>0</v>
      </c>
      <c r="H146" s="2">
        <v>1164.7</v>
      </c>
      <c r="I146" s="2">
        <v>3.8</v>
      </c>
      <c r="J146" s="1241">
        <v>482.4</v>
      </c>
      <c r="K146" s="1241"/>
      <c r="L146" s="2">
        <v>482.4</v>
      </c>
      <c r="M146" s="2">
        <v>0</v>
      </c>
      <c r="N146" s="2">
        <v>0</v>
      </c>
    </row>
    <row r="147" spans="1:14">
      <c r="A147" s="5" t="s">
        <v>46</v>
      </c>
      <c r="B147" s="5" t="s">
        <v>10</v>
      </c>
      <c r="C147" s="2">
        <v>145</v>
      </c>
      <c r="D147" s="1241">
        <v>17485.8</v>
      </c>
      <c r="E147" s="1241"/>
      <c r="F147" s="2">
        <v>17485.8</v>
      </c>
      <c r="G147" s="2">
        <v>0</v>
      </c>
      <c r="H147" s="2">
        <v>0</v>
      </c>
      <c r="I147" s="2">
        <v>0.5</v>
      </c>
      <c r="J147" s="1241">
        <v>36.6</v>
      </c>
      <c r="K147" s="1246">
        <f>J147/I147/12*1000</f>
        <v>6100.0000000000009</v>
      </c>
      <c r="L147" s="2">
        <v>36.6</v>
      </c>
      <c r="M147" s="2">
        <v>0</v>
      </c>
      <c r="N147" s="2">
        <v>0</v>
      </c>
    </row>
    <row r="148" spans="1:14">
      <c r="A148" s="5" t="s">
        <v>46</v>
      </c>
      <c r="B148" s="5" t="s">
        <v>52</v>
      </c>
      <c r="C148" s="2">
        <v>4</v>
      </c>
      <c r="D148" s="1241">
        <v>2659.8</v>
      </c>
      <c r="E148" s="1241"/>
      <c r="F148" s="2">
        <v>2659.8</v>
      </c>
      <c r="G148" s="2">
        <v>0</v>
      </c>
      <c r="H148" s="2">
        <v>0</v>
      </c>
      <c r="I148" s="2">
        <v>0</v>
      </c>
      <c r="J148" s="1241">
        <v>0</v>
      </c>
      <c r="K148" s="1241"/>
      <c r="L148" s="2">
        <v>0</v>
      </c>
      <c r="M148" s="2">
        <v>0</v>
      </c>
      <c r="N148" s="2">
        <v>0</v>
      </c>
    </row>
    <row r="149" spans="1:14" s="24" customFormat="1" ht="38.25">
      <c r="A149" s="22" t="s">
        <v>38</v>
      </c>
      <c r="B149" s="22" t="s">
        <v>30</v>
      </c>
      <c r="C149" s="23">
        <v>856.7</v>
      </c>
      <c r="D149" s="1241">
        <v>207885.1</v>
      </c>
      <c r="E149" s="1241"/>
      <c r="F149" s="23">
        <v>207885.1</v>
      </c>
      <c r="G149" s="23">
        <v>0</v>
      </c>
      <c r="H149" s="23">
        <v>9272.6</v>
      </c>
      <c r="I149" s="23">
        <v>44.9</v>
      </c>
      <c r="J149" s="1241">
        <v>8132.4</v>
      </c>
      <c r="K149" s="1241"/>
      <c r="L149" s="23">
        <v>8132.4</v>
      </c>
      <c r="M149" s="23">
        <v>0</v>
      </c>
      <c r="N149" s="23">
        <v>153.30000000000001</v>
      </c>
    </row>
    <row r="150" spans="1:14" ht="76.5">
      <c r="A150" s="5" t="s">
        <v>38</v>
      </c>
      <c r="B150" s="5" t="s">
        <v>49</v>
      </c>
      <c r="C150" s="2">
        <v>61.5</v>
      </c>
      <c r="D150" s="1241">
        <v>28822.9</v>
      </c>
      <c r="E150" s="1241"/>
      <c r="F150" s="2">
        <v>28822.9</v>
      </c>
      <c r="G150" s="2">
        <v>0</v>
      </c>
      <c r="H150" s="2">
        <v>938.8</v>
      </c>
      <c r="I150" s="2">
        <v>0.5</v>
      </c>
      <c r="J150" s="1241">
        <v>219</v>
      </c>
      <c r="K150" s="1241"/>
      <c r="L150" s="2">
        <v>219</v>
      </c>
      <c r="M150" s="2">
        <v>0</v>
      </c>
      <c r="N150" s="2">
        <v>0</v>
      </c>
    </row>
    <row r="151" spans="1:14" ht="25.5">
      <c r="A151" s="5" t="s">
        <v>38</v>
      </c>
      <c r="B151" s="5" t="s">
        <v>17</v>
      </c>
      <c r="C151" s="2">
        <v>358.4</v>
      </c>
      <c r="D151" s="1241">
        <v>108107.3</v>
      </c>
      <c r="E151" s="1241"/>
      <c r="F151" s="2">
        <v>108107.3</v>
      </c>
      <c r="G151" s="2">
        <v>0</v>
      </c>
      <c r="H151" s="2">
        <v>6674.9</v>
      </c>
      <c r="I151" s="2">
        <v>13.7</v>
      </c>
      <c r="J151" s="1241">
        <v>3453.5</v>
      </c>
      <c r="K151" s="1241"/>
      <c r="L151" s="2">
        <v>3453.5</v>
      </c>
      <c r="M151" s="2">
        <v>0</v>
      </c>
      <c r="N151" s="2">
        <v>97.3</v>
      </c>
    </row>
    <row r="152" spans="1:14" ht="51">
      <c r="A152" s="5" t="s">
        <v>38</v>
      </c>
      <c r="B152" s="5" t="s">
        <v>1</v>
      </c>
      <c r="C152" s="2">
        <v>36</v>
      </c>
      <c r="D152" s="1241">
        <v>8256.7999999999993</v>
      </c>
      <c r="E152" s="1241"/>
      <c r="F152" s="2">
        <v>8256.7999999999993</v>
      </c>
      <c r="G152" s="2">
        <v>0</v>
      </c>
      <c r="H152" s="2">
        <v>531.29999999999995</v>
      </c>
      <c r="I152" s="2">
        <v>1.3</v>
      </c>
      <c r="J152" s="1241">
        <v>309.2</v>
      </c>
      <c r="K152" s="1241"/>
      <c r="L152" s="2">
        <v>309.2</v>
      </c>
      <c r="M152" s="2">
        <v>0</v>
      </c>
      <c r="N152" s="2">
        <v>31.6</v>
      </c>
    </row>
    <row r="153" spans="1:14" ht="51">
      <c r="A153" s="5" t="s">
        <v>38</v>
      </c>
      <c r="B153" s="5" t="s">
        <v>4</v>
      </c>
      <c r="C153" s="2">
        <v>398.5</v>
      </c>
      <c r="D153" s="1241">
        <v>117411.7</v>
      </c>
      <c r="E153" s="1241"/>
      <c r="F153" s="2">
        <v>117411.7</v>
      </c>
      <c r="G153" s="2">
        <v>0</v>
      </c>
      <c r="H153" s="2">
        <v>7269.4</v>
      </c>
      <c r="I153" s="2">
        <v>18.2</v>
      </c>
      <c r="J153" s="1241">
        <v>4227.1000000000004</v>
      </c>
      <c r="K153" s="1241"/>
      <c r="L153" s="2">
        <v>4227.1000000000004</v>
      </c>
      <c r="M153" s="2">
        <v>0</v>
      </c>
      <c r="N153" s="2">
        <v>118.5</v>
      </c>
    </row>
    <row r="154" spans="1:14" ht="25.5">
      <c r="A154" s="5" t="s">
        <v>38</v>
      </c>
      <c r="B154" s="5" t="s">
        <v>10</v>
      </c>
      <c r="C154" s="2">
        <v>345.7</v>
      </c>
      <c r="D154" s="1241">
        <v>45242.5</v>
      </c>
      <c r="E154" s="1241"/>
      <c r="F154" s="2">
        <v>45242.5</v>
      </c>
      <c r="G154" s="2">
        <v>0</v>
      </c>
      <c r="H154" s="2">
        <v>259.3</v>
      </c>
      <c r="I154" s="2">
        <v>23.8</v>
      </c>
      <c r="J154" s="1241">
        <v>3297.9</v>
      </c>
      <c r="K154" s="1246">
        <f>J154/I154/12*1000</f>
        <v>11547.268907563024</v>
      </c>
      <c r="L154" s="2">
        <v>3297.9</v>
      </c>
      <c r="M154" s="2">
        <v>0</v>
      </c>
      <c r="N154" s="2">
        <v>3.2</v>
      </c>
    </row>
    <row r="155" spans="1:14" ht="25.5">
      <c r="A155" s="5" t="s">
        <v>38</v>
      </c>
      <c r="B155" s="5" t="s">
        <v>52</v>
      </c>
      <c r="C155" s="2">
        <v>13.7</v>
      </c>
      <c r="D155" s="1241">
        <v>7956.9</v>
      </c>
      <c r="E155" s="1241"/>
      <c r="F155" s="2">
        <v>7956.9</v>
      </c>
      <c r="G155" s="2">
        <v>0</v>
      </c>
      <c r="H155" s="2">
        <v>243.5</v>
      </c>
      <c r="I155" s="2">
        <v>0</v>
      </c>
      <c r="J155" s="1241">
        <v>0</v>
      </c>
      <c r="K155" s="1241"/>
      <c r="L155" s="2">
        <v>0</v>
      </c>
      <c r="M155" s="2">
        <v>0</v>
      </c>
      <c r="N155" s="2">
        <v>0</v>
      </c>
    </row>
    <row r="156" spans="1:14" ht="63.75">
      <c r="A156" s="5" t="s">
        <v>38</v>
      </c>
      <c r="B156" s="5" t="s">
        <v>18</v>
      </c>
      <c r="C156" s="2">
        <v>1.3</v>
      </c>
      <c r="D156" s="1241">
        <v>194.3</v>
      </c>
      <c r="E156" s="1241"/>
      <c r="F156" s="2">
        <v>194.3</v>
      </c>
      <c r="G156" s="2">
        <v>0</v>
      </c>
      <c r="H156" s="2">
        <v>30.3</v>
      </c>
      <c r="I156" s="2">
        <v>1.1000000000000001</v>
      </c>
      <c r="J156" s="1241">
        <v>79.2</v>
      </c>
      <c r="K156" s="1241"/>
      <c r="L156" s="2">
        <v>79.2</v>
      </c>
      <c r="M156" s="2">
        <v>0</v>
      </c>
      <c r="N156" s="2">
        <v>0</v>
      </c>
    </row>
    <row r="157" spans="1:14" s="24" customFormat="1" ht="38.25">
      <c r="A157" s="22" t="s">
        <v>15</v>
      </c>
      <c r="B157" s="22" t="s">
        <v>30</v>
      </c>
      <c r="C157" s="23">
        <v>156.80000000000001</v>
      </c>
      <c r="D157" s="1241">
        <v>42848.5</v>
      </c>
      <c r="E157" s="1241"/>
      <c r="F157" s="23">
        <v>42848.5</v>
      </c>
      <c r="G157" s="23">
        <v>0</v>
      </c>
      <c r="H157" s="23">
        <v>1923.7</v>
      </c>
      <c r="I157" s="23">
        <v>4.0999999999999996</v>
      </c>
      <c r="J157" s="1241">
        <v>874</v>
      </c>
      <c r="K157" s="1241"/>
      <c r="L157" s="23">
        <v>874</v>
      </c>
      <c r="M157" s="23">
        <v>0</v>
      </c>
      <c r="N157" s="23">
        <v>0</v>
      </c>
    </row>
    <row r="158" spans="1:14" ht="76.5">
      <c r="A158" s="5" t="s">
        <v>15</v>
      </c>
      <c r="B158" s="5" t="s">
        <v>49</v>
      </c>
      <c r="C158" s="2">
        <v>6.5</v>
      </c>
      <c r="D158" s="1241">
        <v>4535.6000000000004</v>
      </c>
      <c r="E158" s="1241"/>
      <c r="F158" s="2">
        <v>4535.6000000000004</v>
      </c>
      <c r="G158" s="2">
        <v>0</v>
      </c>
      <c r="H158" s="2">
        <v>134.69999999999999</v>
      </c>
      <c r="I158" s="2">
        <v>1</v>
      </c>
      <c r="J158" s="1241">
        <v>273.10000000000002</v>
      </c>
      <c r="K158" s="1241"/>
      <c r="L158" s="2">
        <v>273.10000000000002</v>
      </c>
      <c r="M158" s="2">
        <v>0</v>
      </c>
      <c r="N158" s="2">
        <v>0</v>
      </c>
    </row>
    <row r="159" spans="1:14" ht="25.5">
      <c r="A159" s="5" t="s">
        <v>15</v>
      </c>
      <c r="B159" s="5" t="s">
        <v>17</v>
      </c>
      <c r="C159" s="2">
        <v>67.7</v>
      </c>
      <c r="D159" s="1241">
        <v>23041.7</v>
      </c>
      <c r="E159" s="1241"/>
      <c r="F159" s="2">
        <v>23041.7</v>
      </c>
      <c r="G159" s="2">
        <v>0</v>
      </c>
      <c r="H159" s="2">
        <v>1476.2</v>
      </c>
      <c r="I159" s="2">
        <v>0.9</v>
      </c>
      <c r="J159" s="1241">
        <v>276.10000000000002</v>
      </c>
      <c r="K159" s="1241"/>
      <c r="L159" s="2">
        <v>276.10000000000002</v>
      </c>
      <c r="M159" s="2">
        <v>0</v>
      </c>
      <c r="N159" s="2">
        <v>0</v>
      </c>
    </row>
    <row r="160" spans="1:14" ht="51">
      <c r="A160" s="5" t="s">
        <v>15</v>
      </c>
      <c r="B160" s="5" t="s">
        <v>1</v>
      </c>
      <c r="C160" s="2">
        <v>2</v>
      </c>
      <c r="D160" s="1241">
        <v>460.7</v>
      </c>
      <c r="E160" s="1241"/>
      <c r="F160" s="2">
        <v>460.7</v>
      </c>
      <c r="G160" s="2">
        <v>0</v>
      </c>
      <c r="H160" s="2">
        <v>25.6</v>
      </c>
      <c r="I160" s="2">
        <v>0</v>
      </c>
      <c r="J160" s="1241">
        <v>0</v>
      </c>
      <c r="K160" s="1241"/>
      <c r="L160" s="2">
        <v>0</v>
      </c>
      <c r="M160" s="2">
        <v>0</v>
      </c>
      <c r="N160" s="2">
        <v>0</v>
      </c>
    </row>
    <row r="161" spans="1:14" ht="51">
      <c r="A161" s="5" t="s">
        <v>15</v>
      </c>
      <c r="B161" s="5" t="s">
        <v>4</v>
      </c>
      <c r="C161" s="2">
        <v>75.7</v>
      </c>
      <c r="D161" s="1241">
        <v>24983.5</v>
      </c>
      <c r="E161" s="1241"/>
      <c r="F161" s="2">
        <v>24983.5</v>
      </c>
      <c r="G161" s="2">
        <v>0</v>
      </c>
      <c r="H161" s="2">
        <v>1643.6</v>
      </c>
      <c r="I161" s="2">
        <v>1.1000000000000001</v>
      </c>
      <c r="J161" s="1241">
        <v>302.5</v>
      </c>
      <c r="K161" s="1241"/>
      <c r="L161" s="2">
        <v>302.5</v>
      </c>
      <c r="M161" s="2">
        <v>0</v>
      </c>
      <c r="N161" s="2">
        <v>0</v>
      </c>
    </row>
    <row r="162" spans="1:14" ht="25.5">
      <c r="A162" s="5" t="s">
        <v>15</v>
      </c>
      <c r="B162" s="5" t="s">
        <v>10</v>
      </c>
      <c r="C162" s="2">
        <v>69.599999999999994</v>
      </c>
      <c r="D162" s="1241">
        <v>10402.9</v>
      </c>
      <c r="E162" s="1241"/>
      <c r="F162" s="2">
        <v>10402.9</v>
      </c>
      <c r="G162" s="2">
        <v>0</v>
      </c>
      <c r="H162" s="2">
        <v>81.599999999999994</v>
      </c>
      <c r="I162" s="2">
        <v>2</v>
      </c>
      <c r="J162" s="1241">
        <v>298.39999999999998</v>
      </c>
      <c r="K162" s="1246">
        <f>J162/I162/12*1000</f>
        <v>12433.333333333332</v>
      </c>
      <c r="L162" s="2">
        <v>298.39999999999998</v>
      </c>
      <c r="M162" s="2">
        <v>0</v>
      </c>
      <c r="N162" s="2">
        <v>0</v>
      </c>
    </row>
    <row r="163" spans="1:14" ht="25.5">
      <c r="A163" s="5" t="s">
        <v>15</v>
      </c>
      <c r="B163" s="5" t="s">
        <v>52</v>
      </c>
      <c r="C163" s="2">
        <v>3</v>
      </c>
      <c r="D163" s="1241">
        <v>2465.8000000000002</v>
      </c>
      <c r="E163" s="1241"/>
      <c r="F163" s="2">
        <v>2465.8000000000002</v>
      </c>
      <c r="G163" s="2">
        <v>0</v>
      </c>
      <c r="H163" s="2">
        <v>38.200000000000003</v>
      </c>
      <c r="I163" s="2">
        <v>0</v>
      </c>
      <c r="J163" s="1241">
        <v>0</v>
      </c>
      <c r="K163" s="1241"/>
      <c r="L163" s="2">
        <v>0</v>
      </c>
      <c r="M163" s="2">
        <v>0</v>
      </c>
      <c r="N163" s="2">
        <v>0</v>
      </c>
    </row>
    <row r="164" spans="1:14" s="24" customFormat="1" ht="38.25">
      <c r="A164" s="22" t="s">
        <v>5</v>
      </c>
      <c r="B164" s="22" t="s">
        <v>30</v>
      </c>
      <c r="C164" s="23">
        <v>344.8</v>
      </c>
      <c r="D164" s="1241">
        <v>81624</v>
      </c>
      <c r="E164" s="1241"/>
      <c r="F164" s="23">
        <v>81624</v>
      </c>
      <c r="G164" s="23">
        <v>0</v>
      </c>
      <c r="H164" s="23">
        <v>3609.2</v>
      </c>
      <c r="I164" s="23">
        <v>20.6</v>
      </c>
      <c r="J164" s="1241">
        <v>2893.5</v>
      </c>
      <c r="K164" s="1241"/>
      <c r="L164" s="23">
        <v>2893.5</v>
      </c>
      <c r="M164" s="23">
        <v>0</v>
      </c>
      <c r="N164" s="23">
        <v>0</v>
      </c>
    </row>
    <row r="165" spans="1:14" ht="76.5">
      <c r="A165" s="5" t="s">
        <v>5</v>
      </c>
      <c r="B165" s="5" t="s">
        <v>49</v>
      </c>
      <c r="C165" s="2">
        <v>22</v>
      </c>
      <c r="D165" s="1241">
        <v>8928.6</v>
      </c>
      <c r="E165" s="1241"/>
      <c r="F165" s="2">
        <v>8928.6</v>
      </c>
      <c r="G165" s="2">
        <v>0</v>
      </c>
      <c r="H165" s="2">
        <v>586</v>
      </c>
      <c r="I165" s="2">
        <v>0</v>
      </c>
      <c r="J165" s="1241">
        <v>0</v>
      </c>
      <c r="K165" s="1241"/>
      <c r="L165" s="2">
        <v>0</v>
      </c>
      <c r="M165" s="2">
        <v>0</v>
      </c>
      <c r="N165" s="2">
        <v>0</v>
      </c>
    </row>
    <row r="166" spans="1:14" ht="25.5">
      <c r="A166" s="5" t="s">
        <v>5</v>
      </c>
      <c r="B166" s="5" t="s">
        <v>17</v>
      </c>
      <c r="C166" s="2">
        <v>161.4</v>
      </c>
      <c r="D166" s="1241">
        <v>48143</v>
      </c>
      <c r="E166" s="1241"/>
      <c r="F166" s="2">
        <v>48143</v>
      </c>
      <c r="G166" s="2">
        <v>0</v>
      </c>
      <c r="H166" s="2">
        <v>2721.9</v>
      </c>
      <c r="I166" s="2">
        <v>5.4</v>
      </c>
      <c r="J166" s="1241">
        <v>1379.3</v>
      </c>
      <c r="K166" s="1241"/>
      <c r="L166" s="2">
        <v>1379.3</v>
      </c>
      <c r="M166" s="2">
        <v>0</v>
      </c>
      <c r="N166" s="2">
        <v>0</v>
      </c>
    </row>
    <row r="167" spans="1:14" ht="51">
      <c r="A167" s="5" t="s">
        <v>5</v>
      </c>
      <c r="B167" s="5" t="s">
        <v>1</v>
      </c>
      <c r="C167" s="2">
        <v>9.3000000000000007</v>
      </c>
      <c r="D167" s="1241">
        <v>2112.1999999999998</v>
      </c>
      <c r="E167" s="1241"/>
      <c r="F167" s="2">
        <v>2112.1999999999998</v>
      </c>
      <c r="G167" s="2">
        <v>0</v>
      </c>
      <c r="H167" s="2">
        <v>99.3</v>
      </c>
      <c r="I167" s="2">
        <v>0.5</v>
      </c>
      <c r="J167" s="1241">
        <v>141.1</v>
      </c>
      <c r="K167" s="1241"/>
      <c r="L167" s="2">
        <v>141.1</v>
      </c>
      <c r="M167" s="2">
        <v>0</v>
      </c>
      <c r="N167" s="2">
        <v>0</v>
      </c>
    </row>
    <row r="168" spans="1:14" ht="51">
      <c r="A168" s="5" t="s">
        <v>5</v>
      </c>
      <c r="B168" s="5" t="s">
        <v>4</v>
      </c>
      <c r="C168" s="2">
        <v>168.1</v>
      </c>
      <c r="D168" s="1241">
        <v>49089.5</v>
      </c>
      <c r="E168" s="1241"/>
      <c r="F168" s="2">
        <v>49089.5</v>
      </c>
      <c r="G168" s="2">
        <v>0</v>
      </c>
      <c r="H168" s="2">
        <v>2740.5</v>
      </c>
      <c r="I168" s="2">
        <v>5.4</v>
      </c>
      <c r="J168" s="1241">
        <v>1379.3</v>
      </c>
      <c r="K168" s="1241"/>
      <c r="L168" s="2">
        <v>1379.3</v>
      </c>
      <c r="M168" s="2">
        <v>0</v>
      </c>
      <c r="N168" s="2">
        <v>0</v>
      </c>
    </row>
    <row r="169" spans="1:14" ht="25.5">
      <c r="A169" s="5" t="s">
        <v>5</v>
      </c>
      <c r="B169" s="5" t="s">
        <v>10</v>
      </c>
      <c r="C169" s="2">
        <v>137.4</v>
      </c>
      <c r="D169" s="1241">
        <v>17151.7</v>
      </c>
      <c r="E169" s="1241"/>
      <c r="F169" s="2">
        <v>17151.7</v>
      </c>
      <c r="G169" s="2">
        <v>0</v>
      </c>
      <c r="H169" s="2">
        <v>0</v>
      </c>
      <c r="I169" s="2">
        <v>14.7</v>
      </c>
      <c r="J169" s="1241">
        <v>1373.1</v>
      </c>
      <c r="K169" s="1246">
        <f>J169/I169/12*1000</f>
        <v>7784.0136054421764</v>
      </c>
      <c r="L169" s="2">
        <v>1373.1</v>
      </c>
      <c r="M169" s="2">
        <v>0</v>
      </c>
      <c r="N169" s="2">
        <v>0</v>
      </c>
    </row>
    <row r="170" spans="1:14" ht="25.5">
      <c r="A170" s="5" t="s">
        <v>5</v>
      </c>
      <c r="B170" s="5" t="s">
        <v>52</v>
      </c>
      <c r="C170" s="2">
        <v>8</v>
      </c>
      <c r="D170" s="1241">
        <v>4342</v>
      </c>
      <c r="E170" s="1241"/>
      <c r="F170" s="2">
        <v>4342</v>
      </c>
      <c r="G170" s="2">
        <v>0</v>
      </c>
      <c r="H170" s="2">
        <v>183.4</v>
      </c>
      <c r="I170" s="2">
        <v>0</v>
      </c>
      <c r="J170" s="1241">
        <v>0</v>
      </c>
      <c r="K170" s="1241"/>
      <c r="L170" s="2">
        <v>0</v>
      </c>
      <c r="M170" s="2">
        <v>0</v>
      </c>
      <c r="N170" s="2">
        <v>0</v>
      </c>
    </row>
    <row r="171" spans="1:14" s="683" customFormat="1" ht="38.25">
      <c r="A171" s="681" t="s">
        <v>2</v>
      </c>
      <c r="B171" s="681" t="s">
        <v>30</v>
      </c>
      <c r="C171" s="682">
        <v>405.1</v>
      </c>
      <c r="D171" s="1241">
        <v>79320.7</v>
      </c>
      <c r="E171" s="1241"/>
      <c r="F171" s="682">
        <v>79320.7</v>
      </c>
      <c r="G171" s="682">
        <v>0</v>
      </c>
      <c r="H171" s="682">
        <v>3526.3</v>
      </c>
      <c r="I171" s="682">
        <v>23.2</v>
      </c>
      <c r="J171" s="1241">
        <v>3141.2</v>
      </c>
      <c r="K171" s="1241"/>
      <c r="L171" s="682">
        <v>3141.2</v>
      </c>
      <c r="M171" s="682">
        <v>0</v>
      </c>
      <c r="N171" s="682">
        <v>271.39999999999998</v>
      </c>
    </row>
    <row r="172" spans="1:14" ht="76.5">
      <c r="A172" s="5" t="s">
        <v>2</v>
      </c>
      <c r="B172" s="5" t="s">
        <v>49</v>
      </c>
      <c r="C172" s="2">
        <v>23.8</v>
      </c>
      <c r="D172" s="1241">
        <v>9801.4</v>
      </c>
      <c r="E172" s="1241"/>
      <c r="F172" s="2">
        <v>9801.4</v>
      </c>
      <c r="G172" s="2">
        <v>0</v>
      </c>
      <c r="H172" s="2">
        <v>377.8</v>
      </c>
      <c r="I172" s="2">
        <v>0</v>
      </c>
      <c r="J172" s="1241">
        <v>0</v>
      </c>
      <c r="K172" s="1241"/>
      <c r="L172" s="2">
        <v>0</v>
      </c>
      <c r="M172" s="2">
        <v>0</v>
      </c>
      <c r="N172" s="2">
        <v>0</v>
      </c>
    </row>
    <row r="173" spans="1:14">
      <c r="A173" s="5" t="s">
        <v>2</v>
      </c>
      <c r="B173" s="5" t="s">
        <v>17</v>
      </c>
      <c r="C173" s="2">
        <v>148.19999999999999</v>
      </c>
      <c r="D173" s="1241">
        <v>39721.199999999997</v>
      </c>
      <c r="E173" s="1241"/>
      <c r="F173" s="2">
        <v>39721.199999999997</v>
      </c>
      <c r="G173" s="2">
        <v>0</v>
      </c>
      <c r="H173" s="2">
        <v>2608.6999999999998</v>
      </c>
      <c r="I173" s="2">
        <v>7.6</v>
      </c>
      <c r="J173" s="1241">
        <v>1681.6</v>
      </c>
      <c r="K173" s="1241"/>
      <c r="L173" s="2">
        <v>1681.6</v>
      </c>
      <c r="M173" s="2">
        <v>0</v>
      </c>
      <c r="N173" s="2">
        <v>271.39999999999998</v>
      </c>
    </row>
    <row r="174" spans="1:14" ht="51">
      <c r="A174" s="5" t="s">
        <v>2</v>
      </c>
      <c r="B174" s="5" t="s">
        <v>1</v>
      </c>
      <c r="C174" s="2">
        <v>9.8000000000000007</v>
      </c>
      <c r="D174" s="1241">
        <v>2461.3000000000002</v>
      </c>
      <c r="E174" s="1241"/>
      <c r="F174" s="2">
        <v>2461.3000000000002</v>
      </c>
      <c r="G174" s="2">
        <v>0</v>
      </c>
      <c r="H174" s="2">
        <v>120.9</v>
      </c>
      <c r="I174" s="2">
        <v>0.1</v>
      </c>
      <c r="J174" s="1241">
        <v>12</v>
      </c>
      <c r="K174" s="1241"/>
      <c r="L174" s="2">
        <v>12</v>
      </c>
      <c r="M174" s="2">
        <v>0</v>
      </c>
      <c r="N174" s="2">
        <v>0</v>
      </c>
    </row>
    <row r="175" spans="1:14" ht="51">
      <c r="A175" s="5" t="s">
        <v>2</v>
      </c>
      <c r="B175" s="5" t="s">
        <v>4</v>
      </c>
      <c r="C175" s="2">
        <v>158.30000000000001</v>
      </c>
      <c r="D175" s="1241">
        <v>42333.4</v>
      </c>
      <c r="E175" s="1241"/>
      <c r="F175" s="2">
        <v>42333.4</v>
      </c>
      <c r="G175" s="2">
        <v>0</v>
      </c>
      <c r="H175" s="2">
        <v>2840.8</v>
      </c>
      <c r="I175" s="2">
        <v>8.1999999999999993</v>
      </c>
      <c r="J175" s="1241">
        <v>1814.3</v>
      </c>
      <c r="K175" s="1241"/>
      <c r="L175" s="2">
        <v>1814.3</v>
      </c>
      <c r="M175" s="2">
        <v>0</v>
      </c>
      <c r="N175" s="2">
        <v>271.39999999999998</v>
      </c>
    </row>
    <row r="176" spans="1:14">
      <c r="A176" s="5" t="s">
        <v>2</v>
      </c>
      <c r="B176" s="5" t="s">
        <v>10</v>
      </c>
      <c r="C176" s="2">
        <v>203.2</v>
      </c>
      <c r="D176" s="1241">
        <v>19677.099999999999</v>
      </c>
      <c r="E176" s="1241"/>
      <c r="F176" s="2">
        <v>19677.099999999999</v>
      </c>
      <c r="G176" s="2">
        <v>0</v>
      </c>
      <c r="H176" s="2">
        <v>0</v>
      </c>
      <c r="I176" s="2">
        <v>14.9</v>
      </c>
      <c r="J176" s="1241">
        <v>1314.9</v>
      </c>
      <c r="K176" s="1246">
        <f>J176/I176/12*1000</f>
        <v>7354.0268456375843</v>
      </c>
      <c r="L176" s="2">
        <v>1314.9</v>
      </c>
      <c r="M176" s="2">
        <v>0</v>
      </c>
      <c r="N176" s="2">
        <v>0</v>
      </c>
    </row>
    <row r="177" spans="1:14">
      <c r="A177" s="5" t="s">
        <v>2</v>
      </c>
      <c r="B177" s="5" t="s">
        <v>52</v>
      </c>
      <c r="C177" s="2">
        <v>10</v>
      </c>
      <c r="D177" s="1241">
        <v>5047.5</v>
      </c>
      <c r="E177" s="1241"/>
      <c r="F177" s="2">
        <v>5047.5</v>
      </c>
      <c r="G177" s="2">
        <v>0</v>
      </c>
      <c r="H177" s="2">
        <v>186.8</v>
      </c>
      <c r="I177" s="2">
        <v>0</v>
      </c>
      <c r="J177" s="1241">
        <v>0</v>
      </c>
      <c r="K177" s="1241"/>
      <c r="L177" s="2">
        <v>0</v>
      </c>
      <c r="M177" s="2">
        <v>0</v>
      </c>
      <c r="N177" s="2">
        <v>0</v>
      </c>
    </row>
    <row r="178" spans="1:14" s="24" customFormat="1" ht="38.25">
      <c r="A178" s="22" t="s">
        <v>36</v>
      </c>
      <c r="B178" s="22" t="s">
        <v>30</v>
      </c>
      <c r="C178" s="23">
        <v>498.8</v>
      </c>
      <c r="D178" s="1241">
        <v>108099.2</v>
      </c>
      <c r="E178" s="1241"/>
      <c r="F178" s="23">
        <v>108099.2</v>
      </c>
      <c r="G178" s="23">
        <v>0</v>
      </c>
      <c r="H178" s="23">
        <v>5567.4</v>
      </c>
      <c r="I178" s="23">
        <v>0</v>
      </c>
      <c r="J178" s="1241">
        <v>0</v>
      </c>
      <c r="K178" s="1241"/>
      <c r="L178" s="23">
        <v>0</v>
      </c>
      <c r="M178" s="23">
        <v>0</v>
      </c>
      <c r="N178" s="23">
        <v>0</v>
      </c>
    </row>
    <row r="179" spans="1:14" ht="76.5">
      <c r="A179" s="5" t="s">
        <v>36</v>
      </c>
      <c r="B179" s="5" t="s">
        <v>49</v>
      </c>
      <c r="C179" s="2">
        <v>27</v>
      </c>
      <c r="D179" s="1241">
        <v>11760.4</v>
      </c>
      <c r="E179" s="1241"/>
      <c r="F179" s="2">
        <v>11760.4</v>
      </c>
      <c r="G179" s="2">
        <v>0</v>
      </c>
      <c r="H179" s="2">
        <v>617.29999999999995</v>
      </c>
      <c r="I179" s="2">
        <v>0</v>
      </c>
      <c r="J179" s="1241">
        <v>0</v>
      </c>
      <c r="K179" s="1241"/>
      <c r="L179" s="2">
        <v>0</v>
      </c>
      <c r="M179" s="2">
        <v>0</v>
      </c>
      <c r="N179" s="2">
        <v>0</v>
      </c>
    </row>
    <row r="180" spans="1:14" ht="25.5">
      <c r="A180" s="5" t="s">
        <v>36</v>
      </c>
      <c r="B180" s="5" t="s">
        <v>17</v>
      </c>
      <c r="C180" s="2">
        <v>218</v>
      </c>
      <c r="D180" s="1241">
        <v>57861.5</v>
      </c>
      <c r="E180" s="1241"/>
      <c r="F180" s="2">
        <v>57861.5</v>
      </c>
      <c r="G180" s="2">
        <v>0</v>
      </c>
      <c r="H180" s="2">
        <v>4075.2</v>
      </c>
      <c r="I180" s="2">
        <v>0</v>
      </c>
      <c r="J180" s="1241">
        <v>0</v>
      </c>
      <c r="K180" s="1241"/>
      <c r="L180" s="2">
        <v>0</v>
      </c>
      <c r="M180" s="2">
        <v>0</v>
      </c>
      <c r="N180" s="2">
        <v>0</v>
      </c>
    </row>
    <row r="181" spans="1:14" ht="51">
      <c r="A181" s="5" t="s">
        <v>36</v>
      </c>
      <c r="B181" s="5" t="s">
        <v>1</v>
      </c>
      <c r="C181" s="2">
        <v>6.8</v>
      </c>
      <c r="D181" s="1241">
        <v>1675</v>
      </c>
      <c r="E181" s="1241"/>
      <c r="F181" s="2">
        <v>1675</v>
      </c>
      <c r="G181" s="2">
        <v>0</v>
      </c>
      <c r="H181" s="2">
        <v>161</v>
      </c>
      <c r="I181" s="2">
        <v>0</v>
      </c>
      <c r="J181" s="1241">
        <v>0</v>
      </c>
      <c r="K181" s="1241"/>
      <c r="L181" s="2">
        <v>0</v>
      </c>
      <c r="M181" s="2">
        <v>0</v>
      </c>
      <c r="N181" s="2">
        <v>0</v>
      </c>
    </row>
    <row r="182" spans="1:14" ht="51">
      <c r="A182" s="5" t="s">
        <v>36</v>
      </c>
      <c r="B182" s="5" t="s">
        <v>4</v>
      </c>
      <c r="C182" s="2">
        <v>236.8</v>
      </c>
      <c r="D182" s="1241">
        <v>62649.7</v>
      </c>
      <c r="E182" s="1241"/>
      <c r="F182" s="2">
        <v>62649.7</v>
      </c>
      <c r="G182" s="2">
        <v>0</v>
      </c>
      <c r="H182" s="2">
        <v>4466.2</v>
      </c>
      <c r="I182" s="2">
        <v>0</v>
      </c>
      <c r="J182" s="1241">
        <v>0</v>
      </c>
      <c r="K182" s="1241"/>
      <c r="L182" s="2">
        <v>0</v>
      </c>
      <c r="M182" s="2">
        <v>0</v>
      </c>
      <c r="N182" s="2">
        <v>0</v>
      </c>
    </row>
    <row r="183" spans="1:14" ht="25.5">
      <c r="A183" s="5" t="s">
        <v>36</v>
      </c>
      <c r="B183" s="5" t="s">
        <v>10</v>
      </c>
      <c r="C183" s="2">
        <v>220.2</v>
      </c>
      <c r="D183" s="1241">
        <v>27498.799999999999</v>
      </c>
      <c r="E183" s="1241"/>
      <c r="F183" s="2">
        <v>27498.799999999999</v>
      </c>
      <c r="G183" s="2">
        <v>0</v>
      </c>
      <c r="H183" s="2">
        <v>145.4</v>
      </c>
      <c r="I183" s="2">
        <v>0</v>
      </c>
      <c r="J183" s="1241">
        <v>0</v>
      </c>
      <c r="K183" s="1246" t="e">
        <f>J183/I183/12*1000</f>
        <v>#DIV/0!</v>
      </c>
      <c r="L183" s="2">
        <v>0</v>
      </c>
      <c r="M183" s="2">
        <v>0</v>
      </c>
      <c r="N183" s="2">
        <v>0</v>
      </c>
    </row>
    <row r="184" spans="1:14" ht="25.5">
      <c r="A184" s="5" t="s">
        <v>36</v>
      </c>
      <c r="B184" s="5" t="s">
        <v>52</v>
      </c>
      <c r="C184" s="2">
        <v>8</v>
      </c>
      <c r="D184" s="1241">
        <v>4515.3</v>
      </c>
      <c r="E184" s="1241"/>
      <c r="F184" s="2">
        <v>4515.3</v>
      </c>
      <c r="G184" s="2">
        <v>0</v>
      </c>
      <c r="H184" s="2">
        <v>177.5</v>
      </c>
      <c r="I184" s="2">
        <v>0</v>
      </c>
      <c r="J184" s="1241">
        <v>0</v>
      </c>
      <c r="K184" s="1241"/>
      <c r="L184" s="2">
        <v>0</v>
      </c>
      <c r="M184" s="2">
        <v>0</v>
      </c>
      <c r="N184" s="2">
        <v>0</v>
      </c>
    </row>
    <row r="185" spans="1:14" s="24" customFormat="1" ht="38.25">
      <c r="A185" s="22" t="s">
        <v>3</v>
      </c>
      <c r="B185" s="22" t="s">
        <v>30</v>
      </c>
      <c r="C185" s="23">
        <v>507.4</v>
      </c>
      <c r="D185" s="1241">
        <v>111150.5</v>
      </c>
      <c r="E185" s="1241"/>
      <c r="F185" s="23">
        <v>111037.3</v>
      </c>
      <c r="G185" s="23">
        <v>113.2</v>
      </c>
      <c r="H185" s="23">
        <v>3190.5</v>
      </c>
      <c r="I185" s="23">
        <v>24.4</v>
      </c>
      <c r="J185" s="1241">
        <v>3339.5</v>
      </c>
      <c r="K185" s="1241"/>
      <c r="L185" s="23">
        <v>3339.5</v>
      </c>
      <c r="M185" s="23">
        <v>0</v>
      </c>
      <c r="N185" s="23">
        <v>0</v>
      </c>
    </row>
    <row r="186" spans="1:14" ht="76.5">
      <c r="A186" s="5" t="s">
        <v>3</v>
      </c>
      <c r="B186" s="5" t="s">
        <v>49</v>
      </c>
      <c r="C186" s="2">
        <v>41.5</v>
      </c>
      <c r="D186" s="1241">
        <v>15962</v>
      </c>
      <c r="E186" s="1241"/>
      <c r="F186" s="2">
        <v>15961.7</v>
      </c>
      <c r="G186" s="2">
        <v>0.3</v>
      </c>
      <c r="H186" s="2">
        <v>364.4</v>
      </c>
      <c r="I186" s="2">
        <v>0.8</v>
      </c>
      <c r="J186" s="1241">
        <v>344.1</v>
      </c>
      <c r="K186" s="1241"/>
      <c r="L186" s="2">
        <v>344.1</v>
      </c>
      <c r="M186" s="2">
        <v>0</v>
      </c>
      <c r="N186" s="2">
        <v>0</v>
      </c>
    </row>
    <row r="187" spans="1:14">
      <c r="A187" s="5" t="s">
        <v>3</v>
      </c>
      <c r="B187" s="5" t="s">
        <v>17</v>
      </c>
      <c r="C187" s="2">
        <v>209</v>
      </c>
      <c r="D187" s="1241">
        <v>57157.3</v>
      </c>
      <c r="E187" s="1241"/>
      <c r="F187" s="2">
        <v>57045.1</v>
      </c>
      <c r="G187" s="2">
        <v>112.2</v>
      </c>
      <c r="H187" s="2">
        <v>2486.4</v>
      </c>
      <c r="I187" s="2">
        <v>5.3</v>
      </c>
      <c r="J187" s="1241">
        <v>873.5</v>
      </c>
      <c r="K187" s="1241"/>
      <c r="L187" s="2">
        <v>873.5</v>
      </c>
      <c r="M187" s="2">
        <v>0</v>
      </c>
      <c r="N187" s="2">
        <v>0</v>
      </c>
    </row>
    <row r="188" spans="1:14" ht="51">
      <c r="A188" s="5" t="s">
        <v>3</v>
      </c>
      <c r="B188" s="5" t="s">
        <v>4</v>
      </c>
      <c r="C188" s="2">
        <v>248.1</v>
      </c>
      <c r="D188" s="1241">
        <v>64714.3</v>
      </c>
      <c r="E188" s="1241"/>
      <c r="F188" s="2">
        <v>64602.1</v>
      </c>
      <c r="G188" s="2">
        <v>112.2</v>
      </c>
      <c r="H188" s="2">
        <v>2729.9</v>
      </c>
      <c r="I188" s="2">
        <v>9.5</v>
      </c>
      <c r="J188" s="1241">
        <v>1496.9</v>
      </c>
      <c r="K188" s="1241"/>
      <c r="L188" s="2">
        <v>1496.9</v>
      </c>
      <c r="M188" s="2">
        <v>0</v>
      </c>
      <c r="N188" s="2">
        <v>0</v>
      </c>
    </row>
    <row r="189" spans="1:14">
      <c r="A189" s="5" t="s">
        <v>3</v>
      </c>
      <c r="B189" s="5" t="s">
        <v>10</v>
      </c>
      <c r="C189" s="2">
        <v>205.8</v>
      </c>
      <c r="D189" s="1241">
        <v>24330.3</v>
      </c>
      <c r="E189" s="1241"/>
      <c r="F189" s="2">
        <v>24329.9</v>
      </c>
      <c r="G189" s="2">
        <v>0.4</v>
      </c>
      <c r="H189" s="2">
        <v>0</v>
      </c>
      <c r="I189" s="2">
        <v>13.9</v>
      </c>
      <c r="J189" s="1241">
        <v>1498.5</v>
      </c>
      <c r="K189" s="1246">
        <f>J189/I189/12*1000</f>
        <v>8983.8129496402871</v>
      </c>
      <c r="L189" s="2">
        <v>1498.5</v>
      </c>
      <c r="M189" s="2">
        <v>0</v>
      </c>
      <c r="N189" s="2">
        <v>0</v>
      </c>
    </row>
    <row r="190" spans="1:14">
      <c r="A190" s="5" t="s">
        <v>3</v>
      </c>
      <c r="B190" s="5" t="s">
        <v>52</v>
      </c>
      <c r="C190" s="2">
        <v>12</v>
      </c>
      <c r="D190" s="1241">
        <v>6143.9</v>
      </c>
      <c r="E190" s="1241"/>
      <c r="F190" s="2">
        <v>6143.6</v>
      </c>
      <c r="G190" s="2">
        <v>0.3</v>
      </c>
      <c r="H190" s="2">
        <v>96.2</v>
      </c>
      <c r="I190" s="2">
        <v>0</v>
      </c>
      <c r="J190" s="1241">
        <v>0</v>
      </c>
      <c r="K190" s="1241"/>
      <c r="L190" s="2">
        <v>0</v>
      </c>
      <c r="M190" s="2">
        <v>0</v>
      </c>
      <c r="N190" s="2">
        <v>0</v>
      </c>
    </row>
    <row r="191" spans="1:14" s="24" customFormat="1" ht="38.25">
      <c r="A191" s="22" t="s">
        <v>53</v>
      </c>
      <c r="B191" s="22" t="s">
        <v>30</v>
      </c>
      <c r="C191" s="23">
        <v>335</v>
      </c>
      <c r="D191" s="1241">
        <v>72045</v>
      </c>
      <c r="E191" s="1241"/>
      <c r="F191" s="23">
        <v>72045</v>
      </c>
      <c r="G191" s="23">
        <v>0</v>
      </c>
      <c r="H191" s="23">
        <v>3905.1</v>
      </c>
      <c r="I191" s="23">
        <v>18</v>
      </c>
      <c r="J191" s="1241">
        <v>1304.8</v>
      </c>
      <c r="K191" s="1241"/>
      <c r="L191" s="23">
        <v>1304.8</v>
      </c>
      <c r="M191" s="23">
        <v>0</v>
      </c>
      <c r="N191" s="23">
        <v>0</v>
      </c>
    </row>
    <row r="192" spans="1:14" ht="76.5">
      <c r="A192" s="5" t="s">
        <v>53</v>
      </c>
      <c r="B192" s="5" t="s">
        <v>49</v>
      </c>
      <c r="C192" s="2">
        <v>20</v>
      </c>
      <c r="D192" s="1241">
        <v>8570</v>
      </c>
      <c r="E192" s="1241"/>
      <c r="F192" s="2">
        <v>8570</v>
      </c>
      <c r="G192" s="2">
        <v>0</v>
      </c>
      <c r="H192" s="2">
        <v>266.3</v>
      </c>
      <c r="I192" s="2">
        <v>0</v>
      </c>
      <c r="J192" s="1241">
        <v>0</v>
      </c>
      <c r="K192" s="1241"/>
      <c r="L192" s="2">
        <v>0</v>
      </c>
      <c r="M192" s="2">
        <v>0</v>
      </c>
      <c r="N192" s="2">
        <v>0</v>
      </c>
    </row>
    <row r="193" spans="1:14" ht="25.5">
      <c r="A193" s="5" t="s">
        <v>53</v>
      </c>
      <c r="B193" s="5" t="s">
        <v>17</v>
      </c>
      <c r="C193" s="2">
        <v>161</v>
      </c>
      <c r="D193" s="1241">
        <v>44902.400000000001</v>
      </c>
      <c r="E193" s="1241"/>
      <c r="F193" s="2">
        <v>44902.400000000001</v>
      </c>
      <c r="G193" s="2">
        <v>0</v>
      </c>
      <c r="H193" s="2">
        <v>3185.3</v>
      </c>
      <c r="I193" s="2">
        <v>0</v>
      </c>
      <c r="J193" s="1241">
        <v>0</v>
      </c>
      <c r="K193" s="1241"/>
      <c r="L193" s="2">
        <v>0</v>
      </c>
      <c r="M193" s="2">
        <v>0</v>
      </c>
      <c r="N193" s="2">
        <v>0</v>
      </c>
    </row>
    <row r="194" spans="1:14" ht="51">
      <c r="A194" s="5" t="s">
        <v>53</v>
      </c>
      <c r="B194" s="5" t="s">
        <v>4</v>
      </c>
      <c r="C194" s="2">
        <v>171</v>
      </c>
      <c r="D194" s="1241">
        <v>47827.1</v>
      </c>
      <c r="E194" s="1241"/>
      <c r="F194" s="2">
        <v>47827.1</v>
      </c>
      <c r="G194" s="2">
        <v>0</v>
      </c>
      <c r="H194" s="2">
        <v>3490.7</v>
      </c>
      <c r="I194" s="2">
        <v>0</v>
      </c>
      <c r="J194" s="1241">
        <v>0</v>
      </c>
      <c r="K194" s="1241"/>
      <c r="L194" s="2">
        <v>0</v>
      </c>
      <c r="M194" s="2">
        <v>0</v>
      </c>
      <c r="N194" s="2">
        <v>0</v>
      </c>
    </row>
    <row r="195" spans="1:14" ht="25.5">
      <c r="A195" s="5" t="s">
        <v>53</v>
      </c>
      <c r="B195" s="5" t="s">
        <v>10</v>
      </c>
      <c r="C195" s="2">
        <v>137</v>
      </c>
      <c r="D195" s="1241">
        <v>12081.3</v>
      </c>
      <c r="E195" s="1241"/>
      <c r="F195" s="2">
        <v>12081.3</v>
      </c>
      <c r="G195" s="2">
        <v>0</v>
      </c>
      <c r="H195" s="2">
        <v>0</v>
      </c>
      <c r="I195" s="2">
        <v>18</v>
      </c>
      <c r="J195" s="1241">
        <v>1304.8</v>
      </c>
      <c r="K195" s="1246">
        <f>J195/I195/12*1000</f>
        <v>6040.74074074074</v>
      </c>
      <c r="L195" s="2">
        <v>1304.8</v>
      </c>
      <c r="M195" s="2">
        <v>0</v>
      </c>
      <c r="N195" s="2">
        <v>0</v>
      </c>
    </row>
    <row r="196" spans="1:14" ht="25.5">
      <c r="A196" s="5" t="s">
        <v>53</v>
      </c>
      <c r="B196" s="5" t="s">
        <v>52</v>
      </c>
      <c r="C196" s="2">
        <v>5</v>
      </c>
      <c r="D196" s="1241">
        <v>3174.6</v>
      </c>
      <c r="E196" s="1241"/>
      <c r="F196" s="2">
        <v>3174.6</v>
      </c>
      <c r="G196" s="2">
        <v>0</v>
      </c>
      <c r="H196" s="2">
        <v>108.6</v>
      </c>
      <c r="I196" s="2">
        <v>0</v>
      </c>
      <c r="J196" s="1241">
        <v>0</v>
      </c>
      <c r="K196" s="1241"/>
      <c r="L196" s="2">
        <v>0</v>
      </c>
      <c r="M196" s="2">
        <v>0</v>
      </c>
      <c r="N196" s="2">
        <v>0</v>
      </c>
    </row>
    <row r="197" spans="1:14" ht="63.75">
      <c r="A197" s="5" t="s">
        <v>53</v>
      </c>
      <c r="B197" s="5" t="s">
        <v>18</v>
      </c>
      <c r="C197" s="2">
        <v>2</v>
      </c>
      <c r="D197" s="1241">
        <v>392</v>
      </c>
      <c r="E197" s="1241"/>
      <c r="F197" s="2">
        <v>392</v>
      </c>
      <c r="G197" s="2">
        <v>0</v>
      </c>
      <c r="H197" s="2">
        <v>39.5</v>
      </c>
      <c r="I197" s="2">
        <v>0</v>
      </c>
      <c r="J197" s="1241">
        <v>0</v>
      </c>
      <c r="K197" s="1241"/>
      <c r="L197" s="2">
        <v>0</v>
      </c>
      <c r="M197" s="2">
        <v>0</v>
      </c>
      <c r="N197" s="2">
        <v>0</v>
      </c>
    </row>
    <row r="198" spans="1:14" s="24" customFormat="1" ht="38.25">
      <c r="A198" s="22" t="s">
        <v>22</v>
      </c>
      <c r="B198" s="22" t="s">
        <v>30</v>
      </c>
      <c r="C198" s="23">
        <v>216.8</v>
      </c>
      <c r="D198" s="1241">
        <v>49548</v>
      </c>
      <c r="E198" s="1241"/>
      <c r="F198" s="23">
        <v>49548</v>
      </c>
      <c r="G198" s="23">
        <v>0</v>
      </c>
      <c r="H198" s="23">
        <v>2730.8</v>
      </c>
      <c r="I198" s="23">
        <v>10.8</v>
      </c>
      <c r="J198" s="1241">
        <v>1162.9000000000001</v>
      </c>
      <c r="K198" s="1241"/>
      <c r="L198" s="23">
        <v>1162.9000000000001</v>
      </c>
      <c r="M198" s="23">
        <v>0</v>
      </c>
      <c r="N198" s="23">
        <v>0</v>
      </c>
    </row>
    <row r="199" spans="1:14" ht="76.5">
      <c r="A199" s="5" t="s">
        <v>22</v>
      </c>
      <c r="B199" s="5" t="s">
        <v>49</v>
      </c>
      <c r="C199" s="2">
        <v>12.1</v>
      </c>
      <c r="D199" s="1241">
        <v>5239.2</v>
      </c>
      <c r="E199" s="1241"/>
      <c r="F199" s="2">
        <v>5239.2</v>
      </c>
      <c r="G199" s="2">
        <v>0</v>
      </c>
      <c r="H199" s="2">
        <v>173.6</v>
      </c>
      <c r="I199" s="2">
        <v>0</v>
      </c>
      <c r="J199" s="1241">
        <v>0</v>
      </c>
      <c r="K199" s="1241"/>
      <c r="L199" s="2">
        <v>0</v>
      </c>
      <c r="M199" s="2">
        <v>0</v>
      </c>
      <c r="N199" s="2">
        <v>0</v>
      </c>
    </row>
    <row r="200" spans="1:14" ht="25.5">
      <c r="A200" s="5" t="s">
        <v>22</v>
      </c>
      <c r="B200" s="5" t="s">
        <v>17</v>
      </c>
      <c r="C200" s="2">
        <v>106.6</v>
      </c>
      <c r="D200" s="1241">
        <v>29858.2</v>
      </c>
      <c r="E200" s="1241"/>
      <c r="F200" s="2">
        <v>29858.2</v>
      </c>
      <c r="G200" s="2">
        <v>0</v>
      </c>
      <c r="H200" s="2">
        <v>2333.9</v>
      </c>
      <c r="I200" s="2">
        <v>3.9</v>
      </c>
      <c r="J200" s="1241">
        <v>605.79999999999995</v>
      </c>
      <c r="K200" s="1241"/>
      <c r="L200" s="2">
        <v>605.79999999999995</v>
      </c>
      <c r="M200" s="2">
        <v>0</v>
      </c>
      <c r="N200" s="2">
        <v>0</v>
      </c>
    </row>
    <row r="201" spans="1:14" ht="51">
      <c r="A201" s="5" t="s">
        <v>22</v>
      </c>
      <c r="B201" s="5" t="s">
        <v>1</v>
      </c>
      <c r="C201" s="2">
        <v>1.5</v>
      </c>
      <c r="D201" s="1241">
        <v>330</v>
      </c>
      <c r="E201" s="1241"/>
      <c r="F201" s="2">
        <v>330</v>
      </c>
      <c r="G201" s="2">
        <v>0</v>
      </c>
      <c r="H201" s="2">
        <v>21.1</v>
      </c>
      <c r="I201" s="2">
        <v>0</v>
      </c>
      <c r="J201" s="1241">
        <v>0</v>
      </c>
      <c r="K201" s="1241"/>
      <c r="L201" s="2">
        <v>0</v>
      </c>
      <c r="M201" s="2">
        <v>0</v>
      </c>
      <c r="N201" s="2">
        <v>0</v>
      </c>
    </row>
    <row r="202" spans="1:14" ht="51">
      <c r="A202" s="5" t="s">
        <v>22</v>
      </c>
      <c r="B202" s="5" t="s">
        <v>4</v>
      </c>
      <c r="C202" s="2">
        <v>110.3</v>
      </c>
      <c r="D202" s="1241">
        <v>30803.7</v>
      </c>
      <c r="E202" s="1241"/>
      <c r="F202" s="2">
        <v>30803.7</v>
      </c>
      <c r="G202" s="2">
        <v>0</v>
      </c>
      <c r="H202" s="2">
        <v>2435</v>
      </c>
      <c r="I202" s="2">
        <v>3.9</v>
      </c>
      <c r="J202" s="1241">
        <v>605.79999999999995</v>
      </c>
      <c r="K202" s="1241"/>
      <c r="L202" s="2">
        <v>605.79999999999995</v>
      </c>
      <c r="M202" s="2">
        <v>0</v>
      </c>
      <c r="N202" s="2">
        <v>0</v>
      </c>
    </row>
    <row r="203" spans="1:14" ht="25.5">
      <c r="A203" s="5" t="s">
        <v>22</v>
      </c>
      <c r="B203" s="5" t="s">
        <v>10</v>
      </c>
      <c r="C203" s="2">
        <v>87.9</v>
      </c>
      <c r="D203" s="1241">
        <v>10233</v>
      </c>
      <c r="E203" s="1241"/>
      <c r="F203" s="2">
        <v>10233</v>
      </c>
      <c r="G203" s="2">
        <v>0</v>
      </c>
      <c r="H203" s="2">
        <v>0</v>
      </c>
      <c r="I203" s="2">
        <v>6.9</v>
      </c>
      <c r="J203" s="1241">
        <v>557.1</v>
      </c>
      <c r="K203" s="1246">
        <f>J203/I203/12*1000</f>
        <v>6728.2608695652179</v>
      </c>
      <c r="L203" s="2">
        <v>557.1</v>
      </c>
      <c r="M203" s="2">
        <v>0</v>
      </c>
      <c r="N203" s="2">
        <v>0</v>
      </c>
    </row>
    <row r="204" spans="1:14" ht="25.5">
      <c r="A204" s="5" t="s">
        <v>22</v>
      </c>
      <c r="B204" s="5" t="s">
        <v>52</v>
      </c>
      <c r="C204" s="2">
        <v>5</v>
      </c>
      <c r="D204" s="1241">
        <v>2942.1</v>
      </c>
      <c r="E204" s="1241"/>
      <c r="F204" s="2">
        <v>2942.1</v>
      </c>
      <c r="G204" s="2">
        <v>0</v>
      </c>
      <c r="H204" s="2">
        <v>101.1</v>
      </c>
      <c r="I204" s="2">
        <v>0</v>
      </c>
      <c r="J204" s="1241">
        <v>0</v>
      </c>
      <c r="K204" s="1241"/>
      <c r="L204" s="2">
        <v>0</v>
      </c>
      <c r="M204" s="2">
        <v>0</v>
      </c>
      <c r="N204" s="2">
        <v>0</v>
      </c>
    </row>
    <row r="205" spans="1:14" s="683" customFormat="1" ht="38.25">
      <c r="A205" s="681" t="s">
        <v>47</v>
      </c>
      <c r="B205" s="681" t="s">
        <v>30</v>
      </c>
      <c r="C205" s="682">
        <v>154.6</v>
      </c>
      <c r="D205" s="1241">
        <v>35315.199999999997</v>
      </c>
      <c r="E205" s="1241"/>
      <c r="F205" s="682">
        <v>35315.199999999997</v>
      </c>
      <c r="G205" s="682">
        <v>0</v>
      </c>
      <c r="H205" s="682">
        <v>1489.8</v>
      </c>
      <c r="I205" s="682">
        <v>9.8000000000000007</v>
      </c>
      <c r="J205" s="1241">
        <v>1895.4</v>
      </c>
      <c r="K205" s="1241"/>
      <c r="L205" s="682">
        <v>1895.4</v>
      </c>
      <c r="M205" s="682">
        <v>0</v>
      </c>
      <c r="N205" s="682">
        <v>0</v>
      </c>
    </row>
    <row r="206" spans="1:14" ht="76.5">
      <c r="A206" s="5" t="s">
        <v>47</v>
      </c>
      <c r="B206" s="5" t="s">
        <v>49</v>
      </c>
      <c r="C206" s="2">
        <v>8.6</v>
      </c>
      <c r="D206" s="1241">
        <v>3810.3</v>
      </c>
      <c r="E206" s="1241"/>
      <c r="F206" s="2">
        <v>3810.3</v>
      </c>
      <c r="G206" s="2">
        <v>0</v>
      </c>
      <c r="H206" s="2">
        <v>154.1</v>
      </c>
      <c r="I206" s="2">
        <v>0</v>
      </c>
      <c r="J206" s="1241">
        <v>0</v>
      </c>
      <c r="K206" s="1241"/>
      <c r="L206" s="2">
        <v>0</v>
      </c>
      <c r="M206" s="2">
        <v>0</v>
      </c>
      <c r="N206" s="2">
        <v>0</v>
      </c>
    </row>
    <row r="207" spans="1:14" ht="25.5">
      <c r="A207" s="5" t="s">
        <v>47</v>
      </c>
      <c r="B207" s="5" t="s">
        <v>17</v>
      </c>
      <c r="C207" s="2">
        <v>74.3</v>
      </c>
      <c r="D207" s="1241">
        <v>20885.7</v>
      </c>
      <c r="E207" s="1241"/>
      <c r="F207" s="2">
        <v>20885.7</v>
      </c>
      <c r="G207" s="2">
        <v>0</v>
      </c>
      <c r="H207" s="2">
        <v>1285</v>
      </c>
      <c r="I207" s="2">
        <v>7.3</v>
      </c>
      <c r="J207" s="1241">
        <v>1648.8</v>
      </c>
      <c r="K207" s="1241"/>
      <c r="L207" s="2">
        <v>1648.8</v>
      </c>
      <c r="M207" s="2">
        <v>0</v>
      </c>
      <c r="N207" s="2">
        <v>0</v>
      </c>
    </row>
    <row r="208" spans="1:14" ht="51">
      <c r="A208" s="5" t="s">
        <v>47</v>
      </c>
      <c r="B208" s="5" t="s">
        <v>1</v>
      </c>
      <c r="C208" s="2">
        <v>0.6</v>
      </c>
      <c r="D208" s="1241">
        <v>116.7</v>
      </c>
      <c r="E208" s="1241"/>
      <c r="F208" s="2">
        <v>116.7</v>
      </c>
      <c r="G208" s="2">
        <v>0</v>
      </c>
      <c r="H208" s="2">
        <v>0</v>
      </c>
      <c r="I208" s="2">
        <v>0</v>
      </c>
      <c r="J208" s="1241">
        <v>0</v>
      </c>
      <c r="K208" s="1241"/>
      <c r="L208" s="2">
        <v>0</v>
      </c>
      <c r="M208" s="2">
        <v>0</v>
      </c>
      <c r="N208" s="2">
        <v>0</v>
      </c>
    </row>
    <row r="209" spans="1:14" ht="51">
      <c r="A209" s="5" t="s">
        <v>47</v>
      </c>
      <c r="B209" s="5" t="s">
        <v>4</v>
      </c>
      <c r="C209" s="2">
        <v>74.3</v>
      </c>
      <c r="D209" s="1241">
        <v>20885.7</v>
      </c>
      <c r="E209" s="1241"/>
      <c r="F209" s="2">
        <v>20885.7</v>
      </c>
      <c r="G209" s="2">
        <v>0</v>
      </c>
      <c r="H209" s="2">
        <v>1285</v>
      </c>
      <c r="I209" s="2">
        <v>7.3</v>
      </c>
      <c r="J209" s="1241">
        <v>1648.8</v>
      </c>
      <c r="K209" s="1241"/>
      <c r="L209" s="2">
        <v>1648.8</v>
      </c>
      <c r="M209" s="2">
        <v>0</v>
      </c>
      <c r="N209" s="2">
        <v>0</v>
      </c>
    </row>
    <row r="210" spans="1:14" ht="25.5">
      <c r="A210" s="5" t="s">
        <v>47</v>
      </c>
      <c r="B210" s="5" t="s">
        <v>10</v>
      </c>
      <c r="C210" s="2">
        <v>67.099999999999994</v>
      </c>
      <c r="D210" s="1241">
        <v>8391.7000000000007</v>
      </c>
      <c r="E210" s="1241"/>
      <c r="F210" s="2">
        <v>8391.7000000000007</v>
      </c>
      <c r="G210" s="2">
        <v>0</v>
      </c>
      <c r="H210" s="2">
        <v>0</v>
      </c>
      <c r="I210" s="2">
        <v>2.5</v>
      </c>
      <c r="J210" s="1241">
        <v>246.6</v>
      </c>
      <c r="K210" s="1246">
        <f>J210/I210/12*1000</f>
        <v>8220</v>
      </c>
      <c r="L210" s="2">
        <v>246.6</v>
      </c>
      <c r="M210" s="2">
        <v>0</v>
      </c>
      <c r="N210" s="2">
        <v>0</v>
      </c>
    </row>
    <row r="211" spans="1:14" ht="25.5">
      <c r="A211" s="5" t="s">
        <v>47</v>
      </c>
      <c r="B211" s="5" t="s">
        <v>52</v>
      </c>
      <c r="C211" s="2">
        <v>4</v>
      </c>
      <c r="D211" s="1241">
        <v>2110.8000000000002</v>
      </c>
      <c r="E211" s="1241"/>
      <c r="F211" s="2">
        <v>2110.8000000000002</v>
      </c>
      <c r="G211" s="2">
        <v>0</v>
      </c>
      <c r="H211" s="2">
        <v>50.7</v>
      </c>
      <c r="I211" s="2">
        <v>0</v>
      </c>
      <c r="J211" s="1241">
        <v>0</v>
      </c>
      <c r="K211" s="1241"/>
      <c r="L211" s="2">
        <v>0</v>
      </c>
      <c r="M211" s="2">
        <v>0</v>
      </c>
      <c r="N211" s="2">
        <v>0</v>
      </c>
    </row>
    <row r="212" spans="1:14" s="683" customFormat="1" ht="38.25">
      <c r="A212" s="681" t="s">
        <v>35</v>
      </c>
      <c r="B212" s="681" t="s">
        <v>30</v>
      </c>
      <c r="C212" s="682">
        <v>419.6</v>
      </c>
      <c r="D212" s="1241">
        <v>88130.9</v>
      </c>
      <c r="E212" s="1241"/>
      <c r="F212" s="682">
        <v>88130.9</v>
      </c>
      <c r="G212" s="682">
        <v>0</v>
      </c>
      <c r="H212" s="682">
        <v>1920</v>
      </c>
      <c r="I212" s="682">
        <v>0</v>
      </c>
      <c r="J212" s="1241">
        <v>0</v>
      </c>
      <c r="K212" s="1241"/>
      <c r="L212" s="682">
        <v>0</v>
      </c>
      <c r="M212" s="682">
        <v>0</v>
      </c>
      <c r="N212" s="682">
        <v>0</v>
      </c>
    </row>
    <row r="213" spans="1:14" ht="76.5">
      <c r="A213" s="5" t="s">
        <v>35</v>
      </c>
      <c r="B213" s="5" t="s">
        <v>49</v>
      </c>
      <c r="C213" s="2">
        <v>18</v>
      </c>
      <c r="D213" s="1241">
        <v>7244</v>
      </c>
      <c r="E213" s="1241"/>
      <c r="F213" s="2">
        <v>7244</v>
      </c>
      <c r="G213" s="2">
        <v>0</v>
      </c>
      <c r="H213" s="2">
        <v>60.6</v>
      </c>
      <c r="I213" s="2">
        <v>0</v>
      </c>
      <c r="J213" s="1241">
        <v>0</v>
      </c>
      <c r="K213" s="1241"/>
      <c r="L213" s="2">
        <v>0</v>
      </c>
      <c r="M213" s="2">
        <v>0</v>
      </c>
      <c r="N213" s="2">
        <v>0</v>
      </c>
    </row>
    <row r="214" spans="1:14">
      <c r="A214" s="5" t="s">
        <v>35</v>
      </c>
      <c r="B214" s="5" t="s">
        <v>17</v>
      </c>
      <c r="C214" s="2">
        <v>206.8</v>
      </c>
      <c r="D214" s="1241">
        <v>53443.3</v>
      </c>
      <c r="E214" s="1241"/>
      <c r="F214" s="2">
        <v>53443.3</v>
      </c>
      <c r="G214" s="2">
        <v>0</v>
      </c>
      <c r="H214" s="2">
        <v>1820</v>
      </c>
      <c r="I214" s="2">
        <v>0</v>
      </c>
      <c r="J214" s="1241">
        <v>0</v>
      </c>
      <c r="K214" s="1241"/>
      <c r="L214" s="2">
        <v>0</v>
      </c>
      <c r="M214" s="2">
        <v>0</v>
      </c>
      <c r="N214" s="2">
        <v>0</v>
      </c>
    </row>
    <row r="215" spans="1:14" ht="51">
      <c r="A215" s="5" t="s">
        <v>35</v>
      </c>
      <c r="B215" s="5" t="s">
        <v>1</v>
      </c>
      <c r="C215" s="2">
        <v>2.2000000000000002</v>
      </c>
      <c r="D215" s="1241">
        <v>477.8</v>
      </c>
      <c r="E215" s="1241"/>
      <c r="F215" s="2">
        <v>477.8</v>
      </c>
      <c r="G215" s="2">
        <v>0</v>
      </c>
      <c r="H215" s="2">
        <v>0</v>
      </c>
      <c r="I215" s="2">
        <v>0</v>
      </c>
      <c r="J215" s="1241">
        <v>0</v>
      </c>
      <c r="K215" s="1241"/>
      <c r="L215" s="2">
        <v>0</v>
      </c>
      <c r="M215" s="2">
        <v>0</v>
      </c>
      <c r="N215" s="2">
        <v>0</v>
      </c>
    </row>
    <row r="216" spans="1:14" ht="51">
      <c r="A216" s="5" t="s">
        <v>35</v>
      </c>
      <c r="B216" s="5" t="s">
        <v>4</v>
      </c>
      <c r="C216" s="2">
        <v>208.8</v>
      </c>
      <c r="D216" s="1241">
        <v>53885</v>
      </c>
      <c r="E216" s="1241"/>
      <c r="F216" s="2">
        <v>53885</v>
      </c>
      <c r="G216" s="2">
        <v>0</v>
      </c>
      <c r="H216" s="2">
        <v>1820</v>
      </c>
      <c r="I216" s="2">
        <v>0</v>
      </c>
      <c r="J216" s="1241">
        <v>0</v>
      </c>
      <c r="K216" s="1241"/>
      <c r="L216" s="2">
        <v>0</v>
      </c>
      <c r="M216" s="2">
        <v>0</v>
      </c>
      <c r="N216" s="2">
        <v>0</v>
      </c>
    </row>
    <row r="217" spans="1:14">
      <c r="A217" s="5" t="s">
        <v>35</v>
      </c>
      <c r="B217" s="5" t="s">
        <v>10</v>
      </c>
      <c r="C217" s="2">
        <v>183.6</v>
      </c>
      <c r="D217" s="1241">
        <v>23179.200000000001</v>
      </c>
      <c r="E217" s="1241"/>
      <c r="F217" s="2">
        <v>23179.200000000001</v>
      </c>
      <c r="G217" s="2">
        <v>0</v>
      </c>
      <c r="H217" s="2">
        <v>0</v>
      </c>
      <c r="I217" s="2">
        <v>0</v>
      </c>
      <c r="J217" s="1241">
        <v>0</v>
      </c>
      <c r="K217" s="1246" t="e">
        <f>J217/I217/12*1000</f>
        <v>#DIV/0!</v>
      </c>
      <c r="L217" s="2">
        <v>0</v>
      </c>
      <c r="M217" s="2">
        <v>0</v>
      </c>
      <c r="N217" s="2">
        <v>0</v>
      </c>
    </row>
    <row r="218" spans="1:14">
      <c r="A218" s="5" t="s">
        <v>35</v>
      </c>
      <c r="B218" s="5" t="s">
        <v>52</v>
      </c>
      <c r="C218" s="2">
        <v>7</v>
      </c>
      <c r="D218" s="1241">
        <v>3344.9</v>
      </c>
      <c r="E218" s="1241"/>
      <c r="F218" s="2">
        <v>3344.9</v>
      </c>
      <c r="G218" s="2">
        <v>0</v>
      </c>
      <c r="H218" s="2">
        <v>39.4</v>
      </c>
      <c r="I218" s="2">
        <v>0</v>
      </c>
      <c r="J218" s="1241">
        <v>0</v>
      </c>
      <c r="K218" s="1241"/>
      <c r="L218" s="2">
        <v>0</v>
      </c>
      <c r="M218" s="2">
        <v>0</v>
      </c>
      <c r="N218" s="2">
        <v>0</v>
      </c>
    </row>
    <row r="219" spans="1:14" s="24" customFormat="1" ht="38.25">
      <c r="A219" s="22" t="s">
        <v>54</v>
      </c>
      <c r="B219" s="22" t="s">
        <v>30</v>
      </c>
      <c r="C219" s="23">
        <v>629.4</v>
      </c>
      <c r="D219" s="1241">
        <v>139298.4</v>
      </c>
      <c r="E219" s="1241"/>
      <c r="F219" s="23">
        <v>139298.4</v>
      </c>
      <c r="G219" s="23">
        <v>0</v>
      </c>
      <c r="H219" s="23">
        <v>5991.2</v>
      </c>
      <c r="I219" s="23">
        <v>24.1</v>
      </c>
      <c r="J219" s="1241">
        <v>2876.1</v>
      </c>
      <c r="K219" s="1241"/>
      <c r="L219" s="23">
        <v>2876.1</v>
      </c>
      <c r="M219" s="23">
        <v>0</v>
      </c>
      <c r="N219" s="23">
        <v>49.6</v>
      </c>
    </row>
    <row r="220" spans="1:14" ht="76.5">
      <c r="A220" s="5" t="s">
        <v>54</v>
      </c>
      <c r="B220" s="5" t="s">
        <v>49</v>
      </c>
      <c r="C220" s="2">
        <v>33.6</v>
      </c>
      <c r="D220" s="1241">
        <v>12754.7</v>
      </c>
      <c r="E220" s="1241"/>
      <c r="F220" s="2">
        <v>12754.7</v>
      </c>
      <c r="G220" s="2">
        <v>0</v>
      </c>
      <c r="H220" s="2">
        <v>393</v>
      </c>
      <c r="I220" s="2">
        <v>0</v>
      </c>
      <c r="J220" s="1241">
        <v>0</v>
      </c>
      <c r="K220" s="1241"/>
      <c r="L220" s="2">
        <v>0</v>
      </c>
      <c r="M220" s="2">
        <v>0</v>
      </c>
      <c r="N220" s="2">
        <v>0</v>
      </c>
    </row>
    <row r="221" spans="1:14" ht="25.5">
      <c r="A221" s="5" t="s">
        <v>54</v>
      </c>
      <c r="B221" s="5" t="s">
        <v>17</v>
      </c>
      <c r="C221" s="2">
        <v>281.2</v>
      </c>
      <c r="D221" s="1241">
        <v>83015.7</v>
      </c>
      <c r="E221" s="1241"/>
      <c r="F221" s="2">
        <v>83015.7</v>
      </c>
      <c r="G221" s="2">
        <v>0</v>
      </c>
      <c r="H221" s="2">
        <v>4703.5</v>
      </c>
      <c r="I221" s="2">
        <v>10.5</v>
      </c>
      <c r="J221" s="1241">
        <v>1658.5</v>
      </c>
      <c r="K221" s="1241"/>
      <c r="L221" s="2">
        <v>1658.5</v>
      </c>
      <c r="M221" s="2">
        <v>0</v>
      </c>
      <c r="N221" s="2">
        <v>49.6</v>
      </c>
    </row>
    <row r="222" spans="1:14" ht="51">
      <c r="A222" s="5" t="s">
        <v>54</v>
      </c>
      <c r="B222" s="5" t="s">
        <v>1</v>
      </c>
      <c r="C222" s="2">
        <v>16.7</v>
      </c>
      <c r="D222" s="1241">
        <v>3520.9</v>
      </c>
      <c r="E222" s="1241"/>
      <c r="F222" s="2">
        <v>3520.9</v>
      </c>
      <c r="G222" s="2">
        <v>0</v>
      </c>
      <c r="H222" s="2">
        <v>232</v>
      </c>
      <c r="I222" s="2">
        <v>0.1</v>
      </c>
      <c r="J222" s="1241">
        <v>12.6</v>
      </c>
      <c r="K222" s="1241"/>
      <c r="L222" s="2">
        <v>12.6</v>
      </c>
      <c r="M222" s="2">
        <v>0</v>
      </c>
      <c r="N222" s="2">
        <v>0</v>
      </c>
    </row>
    <row r="223" spans="1:14" ht="51">
      <c r="A223" s="5" t="s">
        <v>54</v>
      </c>
      <c r="B223" s="5" t="s">
        <v>4</v>
      </c>
      <c r="C223" s="2">
        <v>301.2</v>
      </c>
      <c r="D223" s="1241">
        <v>87208</v>
      </c>
      <c r="E223" s="1241"/>
      <c r="F223" s="2">
        <v>87208</v>
      </c>
      <c r="G223" s="2">
        <v>0</v>
      </c>
      <c r="H223" s="2">
        <v>5065.2</v>
      </c>
      <c r="I223" s="2">
        <v>11.3</v>
      </c>
      <c r="J223" s="1241">
        <v>1726.1</v>
      </c>
      <c r="K223" s="1241"/>
      <c r="L223" s="2">
        <v>1726.1</v>
      </c>
      <c r="M223" s="2">
        <v>0</v>
      </c>
      <c r="N223" s="2">
        <v>49.6</v>
      </c>
    </row>
    <row r="224" spans="1:14" ht="25.5">
      <c r="A224" s="5" t="s">
        <v>54</v>
      </c>
      <c r="B224" s="1265" t="s">
        <v>10</v>
      </c>
      <c r="C224" s="2">
        <v>263.89999999999998</v>
      </c>
      <c r="D224" s="1241">
        <v>29727</v>
      </c>
      <c r="E224" s="1263">
        <f>ROUND((D224+D225)/(C224+C225)/12*1000,1)</f>
        <v>9415.2999999999993</v>
      </c>
      <c r="F224" s="2">
        <v>29727</v>
      </c>
      <c r="G224" s="2">
        <v>0</v>
      </c>
      <c r="H224" s="2">
        <v>19</v>
      </c>
      <c r="I224" s="2">
        <v>12.7</v>
      </c>
      <c r="J224" s="1241">
        <v>1137.4000000000001</v>
      </c>
      <c r="K224" s="1263">
        <f>ROUND((J224+J225)/(I224+I225)/12*1000,1)</f>
        <v>7463.3</v>
      </c>
      <c r="L224" s="2">
        <v>1137.4000000000001</v>
      </c>
      <c r="M224" s="2">
        <v>0</v>
      </c>
      <c r="N224" s="2">
        <v>0</v>
      </c>
    </row>
    <row r="225" spans="1:18" ht="25.5">
      <c r="A225" s="5" t="s">
        <v>54</v>
      </c>
      <c r="B225" s="5" t="s">
        <v>23</v>
      </c>
      <c r="C225" s="2">
        <v>3</v>
      </c>
      <c r="D225" s="1241">
        <v>428.3</v>
      </c>
      <c r="E225" s="1241"/>
      <c r="F225" s="2">
        <v>428.3</v>
      </c>
      <c r="G225" s="2">
        <v>0</v>
      </c>
      <c r="H225" s="2">
        <v>38.9</v>
      </c>
      <c r="I225" s="2">
        <v>0</v>
      </c>
      <c r="J225" s="1241">
        <v>0</v>
      </c>
      <c r="K225" s="1241"/>
      <c r="L225" s="2">
        <v>0</v>
      </c>
      <c r="M225" s="2">
        <v>0</v>
      </c>
      <c r="N225" s="2">
        <v>0</v>
      </c>
    </row>
    <row r="226" spans="1:18" ht="25.5">
      <c r="A226" s="5" t="s">
        <v>54</v>
      </c>
      <c r="B226" s="5" t="s">
        <v>52</v>
      </c>
      <c r="C226" s="2">
        <v>11</v>
      </c>
      <c r="D226" s="1241">
        <v>5659.5</v>
      </c>
      <c r="E226" s="1241"/>
      <c r="F226" s="2">
        <v>5659.5</v>
      </c>
      <c r="G226" s="2">
        <v>0</v>
      </c>
      <c r="H226" s="2">
        <v>243.1</v>
      </c>
      <c r="I226" s="2">
        <v>0</v>
      </c>
      <c r="J226" s="1241">
        <v>0</v>
      </c>
      <c r="K226" s="1241"/>
      <c r="L226" s="2">
        <v>0</v>
      </c>
      <c r="M226" s="2">
        <v>0</v>
      </c>
      <c r="N226" s="2">
        <v>0</v>
      </c>
      <c r="Q226" s="1260">
        <v>6548.4</v>
      </c>
    </row>
    <row r="227" spans="1:18">
      <c r="F227" s="26">
        <f>G228+H228+N228+M228</f>
        <v>90783.599999999991</v>
      </c>
      <c r="G227" s="26">
        <f>G228+M228</f>
        <v>10247.799999999999</v>
      </c>
    </row>
    <row r="228" spans="1:18">
      <c r="A228" s="544" t="s">
        <v>81</v>
      </c>
      <c r="B228" s="544" t="s">
        <v>81</v>
      </c>
      <c r="C228" s="23">
        <f>C219+C212+C205+C198+C191+C185+C178+C171+C164+C157+C149+C143+C136+C128+C120+C113+C96+C89+C81+C73+C66+C59+C52+C45+C39+C32+C24+C15+C7</f>
        <v>14880.800000000003</v>
      </c>
      <c r="D228" s="23">
        <f t="shared" ref="D228:N228" si="1">D219+D212+D205+D198+D191+D185+D178+D171+D164+D157+D149+D143+D136+D128+D120+D113+D96+D89+D81+D73+D66+D59+D52+D45+D39+D32+D24+D15+D7</f>
        <v>3628954.3</v>
      </c>
      <c r="E228" s="23"/>
      <c r="F228" s="23">
        <f t="shared" si="1"/>
        <v>3618805.8000000003</v>
      </c>
      <c r="G228" s="1244">
        <f t="shared" si="1"/>
        <v>10148.5</v>
      </c>
      <c r="H228" s="1244">
        <f t="shared" si="1"/>
        <v>79498.399999999994</v>
      </c>
      <c r="I228" s="23">
        <f t="shared" si="1"/>
        <v>605.90000000000009</v>
      </c>
      <c r="J228" s="23">
        <f t="shared" si="1"/>
        <v>85596</v>
      </c>
      <c r="K228" s="23"/>
      <c r="L228" s="23">
        <f t="shared" si="1"/>
        <v>85496.700000000012</v>
      </c>
      <c r="M228" s="23">
        <f t="shared" si="1"/>
        <v>99.3</v>
      </c>
      <c r="N228" s="1244">
        <f t="shared" si="1"/>
        <v>1037.3999999999999</v>
      </c>
      <c r="O228" s="1245">
        <f>N228+H228+G228</f>
        <v>90684.299999999988</v>
      </c>
      <c r="P228" s="26">
        <f>H228++N228</f>
        <v>80535.799999999988</v>
      </c>
      <c r="Q228" s="26">
        <f>M228+G228</f>
        <v>10247.799999999999</v>
      </c>
    </row>
    <row r="229" spans="1:18" ht="76.5">
      <c r="A229" s="544" t="s">
        <v>81</v>
      </c>
      <c r="B229" s="5" t="s">
        <v>49</v>
      </c>
      <c r="C229" s="544">
        <f>C220+C213+C206+C199+C192+C186+C179+C172+C165+C158+C150+C144+C137+C129+C121+C114+C97+C90+C82+C74+C67+C60+C53+C46+C40+C33+C25+C16+C8</f>
        <v>993.70000000000016</v>
      </c>
      <c r="D229" s="544">
        <f t="shared" ref="D229:N229" si="2">D220+D213+D206+D199+D192+D186+D179+D172+D165+D158+D150+D144+D137+D129+D121+D114+D97+D90+D82+D74+D67+D60+D53+D46+D40+D33+D25+D16+D8</f>
        <v>447400.60000000003</v>
      </c>
      <c r="E229" s="544"/>
      <c r="F229" s="544">
        <f t="shared" si="2"/>
        <v>446111.5</v>
      </c>
      <c r="G229" s="544">
        <f t="shared" si="2"/>
        <v>1289.0999999999999</v>
      </c>
      <c r="H229" s="544">
        <f t="shared" si="2"/>
        <v>6676.6999999999989</v>
      </c>
      <c r="I229" s="544">
        <f t="shared" si="2"/>
        <v>6.2</v>
      </c>
      <c r="J229" s="544">
        <f t="shared" si="2"/>
        <v>2038.8</v>
      </c>
      <c r="K229" s="544"/>
      <c r="L229" s="544">
        <f t="shared" si="2"/>
        <v>2038.8</v>
      </c>
      <c r="M229" s="544">
        <f t="shared" si="2"/>
        <v>0</v>
      </c>
      <c r="N229" s="544">
        <f t="shared" si="2"/>
        <v>0</v>
      </c>
      <c r="P229">
        <f>P228*1.088*1.053/1.044</f>
        <v>88378.320662068945</v>
      </c>
      <c r="Q229" s="1259">
        <f>Q228+P229</f>
        <v>98626.120662068948</v>
      </c>
    </row>
    <row r="230" spans="1:18">
      <c r="A230" s="544" t="s">
        <v>81</v>
      </c>
      <c r="B230" s="5" t="s">
        <v>17</v>
      </c>
      <c r="C230" s="11"/>
      <c r="D230" s="546"/>
      <c r="E230" s="546"/>
      <c r="F230" s="11"/>
      <c r="G230" s="11"/>
      <c r="H230" s="11"/>
      <c r="I230" s="11"/>
      <c r="J230" s="546"/>
      <c r="K230" s="546"/>
      <c r="L230" s="11"/>
      <c r="M230" s="11"/>
      <c r="N230" s="11"/>
    </row>
    <row r="231" spans="1:18" ht="51">
      <c r="A231" s="544" t="s">
        <v>81</v>
      </c>
      <c r="B231" s="5" t="s">
        <v>1</v>
      </c>
      <c r="C231" s="1237">
        <f>C222+C215+C208+C201+C181+C174+C167+C160+C152+C139+C123+C99+C92+C84+C76+C69+C62+C55+C48+C27+C18+C10</f>
        <v>219.30000000000004</v>
      </c>
      <c r="D231" s="1237">
        <f t="shared" ref="D231:N231" si="3">D222+D215+D208+D201+D181+D174+D167+D160+D152+D139+D123+D99+D92+D84+D76+D69+D62+D55+D48+D27+D18+D10</f>
        <v>48726.2</v>
      </c>
      <c r="E231" s="1237"/>
      <c r="F231" s="1237">
        <f t="shared" si="3"/>
        <v>48726.2</v>
      </c>
      <c r="G231" s="1237">
        <f t="shared" si="3"/>
        <v>0</v>
      </c>
      <c r="H231" s="1237">
        <f t="shared" si="3"/>
        <v>2377.9</v>
      </c>
      <c r="I231" s="1237">
        <f t="shared" si="3"/>
        <v>6.3000000000000007</v>
      </c>
      <c r="J231" s="1237">
        <f t="shared" si="3"/>
        <v>1119</v>
      </c>
      <c r="K231" s="1237">
        <f t="shared" si="3"/>
        <v>0</v>
      </c>
      <c r="L231" s="1237">
        <f t="shared" si="3"/>
        <v>1119</v>
      </c>
      <c r="M231" s="1237">
        <f t="shared" si="3"/>
        <v>0</v>
      </c>
      <c r="N231" s="1237">
        <f t="shared" si="3"/>
        <v>31.6</v>
      </c>
      <c r="P231" s="11">
        <v>60554.3</v>
      </c>
      <c r="Q231" s="11">
        <v>6548.4</v>
      </c>
      <c r="R231" s="893" t="s">
        <v>833</v>
      </c>
    </row>
    <row r="232" spans="1:18" ht="51">
      <c r="A232" s="544" t="s">
        <v>81</v>
      </c>
      <c r="B232" s="5" t="s">
        <v>4</v>
      </c>
      <c r="C232" s="1235">
        <f>C223+C216+C209+C202+C194+C188+C182+C175+C168+C161+C153+C146+C140+C132+C124+C116+C100+C93+C85+C77+C70+C63+C56+C49+C42+C35+C28+C19+C11</f>
        <v>7988.4999999999982</v>
      </c>
      <c r="D232" s="1235">
        <f t="shared" ref="D232:N232" si="4">D223+D216+D209+D202+D194+D188+D182+D175+D168+D161+D153+D146+D140+D132+D124+D116+D100+D93+D85+D77+D70+D63+D56+D49+D42+D35+D28+D19+D11</f>
        <v>2311393.7999999998</v>
      </c>
      <c r="E232" s="1235"/>
      <c r="F232" s="1235">
        <f t="shared" si="4"/>
        <v>2303714.4</v>
      </c>
      <c r="G232" s="1235">
        <f t="shared" si="4"/>
        <v>7679.4</v>
      </c>
      <c r="H232" s="1235">
        <f t="shared" si="4"/>
        <v>66861.700000000012</v>
      </c>
      <c r="I232" s="1235">
        <f t="shared" si="4"/>
        <v>248.3</v>
      </c>
      <c r="J232" s="1235">
        <f t="shared" si="4"/>
        <v>45722.500000000007</v>
      </c>
      <c r="K232" s="1235">
        <f t="shared" si="4"/>
        <v>0</v>
      </c>
      <c r="L232" s="1235">
        <f t="shared" si="4"/>
        <v>45635.900000000009</v>
      </c>
      <c r="M232" s="1235">
        <f t="shared" si="4"/>
        <v>86.6</v>
      </c>
      <c r="N232" s="1235">
        <f t="shared" si="4"/>
        <v>1002.5999999999999</v>
      </c>
    </row>
    <row r="233" spans="1:18">
      <c r="A233" s="544" t="s">
        <v>81</v>
      </c>
      <c r="B233" s="5" t="s">
        <v>10</v>
      </c>
      <c r="C233" s="1262">
        <f>C224+C217+C210+C203+C195+C189+C183+C176+C169+C162+C154+C147+C141+C133+C125+C117+C101+C94+C86+C78+C71+C64+C57+C50+C43+C36+C29+C20+C12</f>
        <v>5380.9999999999991</v>
      </c>
      <c r="D233" s="1237">
        <f t="shared" ref="D233:N233" si="5">D224+D217+D210+D203+D195+D189+D183+D176+D169+D162+D154+D147+D141+D133+D125+D117+D101+D94+D86+D78+D71+D64+D57+D50+D43+D36+D29+D20+D12</f>
        <v>656183.29999999993</v>
      </c>
      <c r="E233" s="1237"/>
      <c r="F233" s="1237">
        <f t="shared" si="5"/>
        <v>655335.59999999986</v>
      </c>
      <c r="G233" s="1237">
        <f t="shared" si="5"/>
        <v>847.69999999999993</v>
      </c>
      <c r="H233" s="1237">
        <f t="shared" si="5"/>
        <v>672.4</v>
      </c>
      <c r="I233" s="1237">
        <f t="shared" si="5"/>
        <v>340</v>
      </c>
      <c r="J233" s="1237">
        <f t="shared" si="5"/>
        <v>36084.9</v>
      </c>
      <c r="K233" s="1237" t="e">
        <f t="shared" si="5"/>
        <v>#DIV/0!</v>
      </c>
      <c r="L233" s="1237">
        <f t="shared" si="5"/>
        <v>36072.200000000004</v>
      </c>
      <c r="M233" s="1237">
        <f t="shared" si="5"/>
        <v>12.7</v>
      </c>
      <c r="N233" s="1237">
        <f t="shared" si="5"/>
        <v>3.2</v>
      </c>
    </row>
    <row r="234" spans="1:18">
      <c r="A234" s="544" t="s">
        <v>81</v>
      </c>
      <c r="B234" s="5" t="s">
        <v>23</v>
      </c>
      <c r="C234" s="1263">
        <f t="shared" ref="C234:N234" si="6">C225+C184+C126+C110</f>
        <v>15.5</v>
      </c>
      <c r="D234" s="2">
        <f t="shared" si="6"/>
        <v>5941.9</v>
      </c>
      <c r="E234" s="2"/>
      <c r="F234" s="2">
        <f>F225+F184+F126+F110</f>
        <v>5941.9</v>
      </c>
      <c r="G234" s="2">
        <f t="shared" si="6"/>
        <v>0</v>
      </c>
      <c r="H234" s="2">
        <f t="shared" si="6"/>
        <v>246.70000000000002</v>
      </c>
      <c r="I234" s="2">
        <f t="shared" si="6"/>
        <v>0</v>
      </c>
      <c r="J234" s="2">
        <f t="shared" si="6"/>
        <v>0</v>
      </c>
      <c r="K234" s="2">
        <f t="shared" si="6"/>
        <v>0</v>
      </c>
      <c r="L234" s="2">
        <f t="shared" si="6"/>
        <v>0</v>
      </c>
      <c r="M234" s="2">
        <f t="shared" si="6"/>
        <v>0</v>
      </c>
      <c r="N234" s="2">
        <f t="shared" si="6"/>
        <v>0</v>
      </c>
    </row>
    <row r="235" spans="1:18">
      <c r="A235" s="1247" t="s">
        <v>52</v>
      </c>
      <c r="B235" s="5" t="s">
        <v>52</v>
      </c>
      <c r="C235" s="1246">
        <f>C226+C218+C211+C204+C196+C190+C184+C177+C170+C163+C155+C148+C142+C134+C127+C118+C111+C102+C95+C87+C79+C72+C65+C58+C51+C44+C30+C21+C13</f>
        <v>276.10000000000002</v>
      </c>
      <c r="D235" s="1246">
        <f>D226+D218+D211+D204+D196+D190+D184+D177+D170+D163+D155+D148+D142+D134+D127+D118+D111+D102+D95+D87+D79+D72+D65+D58+D51+D44+D30+D21+D13</f>
        <v>164289.9</v>
      </c>
      <c r="E235" s="1246"/>
      <c r="F235" s="1246">
        <f t="shared" ref="F235:N235" si="7">F226+F218+F211+F204+F196+F190+F184+F177+F170+F163+F155+F148+F142+F134+F127+F118+F111+F102+F95+F87+F79+F72+F65+F58+F51+F44+F30+F21+F13</f>
        <v>164005.20000000001</v>
      </c>
      <c r="G235" s="1246">
        <f t="shared" si="7"/>
        <v>284.7</v>
      </c>
      <c r="H235" s="1246">
        <f t="shared" si="7"/>
        <v>2725.5</v>
      </c>
      <c r="I235" s="1246">
        <f t="shared" si="7"/>
        <v>0</v>
      </c>
      <c r="J235" s="1246">
        <f t="shared" si="7"/>
        <v>0</v>
      </c>
      <c r="K235" s="1246">
        <f t="shared" si="7"/>
        <v>0</v>
      </c>
      <c r="L235" s="1246">
        <f t="shared" si="7"/>
        <v>0</v>
      </c>
      <c r="M235" s="1246">
        <f t="shared" si="7"/>
        <v>0</v>
      </c>
      <c r="N235" s="1246">
        <f t="shared" si="7"/>
        <v>0</v>
      </c>
    </row>
    <row r="236" spans="1:18">
      <c r="A236" s="544" t="s">
        <v>827</v>
      </c>
      <c r="B236" s="11"/>
      <c r="C236" s="1237">
        <f>C235+C229</f>
        <v>1269.8000000000002</v>
      </c>
      <c r="D236" s="1237">
        <f>D235+D229</f>
        <v>611690.5</v>
      </c>
      <c r="E236" s="1237"/>
      <c r="F236" s="1237">
        <f>F235+F229</f>
        <v>610116.69999999995</v>
      </c>
      <c r="G236" s="1237">
        <f t="shared" ref="G236:N236" si="8">G235+G229</f>
        <v>1573.8</v>
      </c>
      <c r="H236" s="1237">
        <f t="shared" si="8"/>
        <v>9402.1999999999989</v>
      </c>
      <c r="I236" s="1237">
        <f t="shared" si="8"/>
        <v>6.2</v>
      </c>
      <c r="J236" s="1237">
        <f t="shared" si="8"/>
        <v>2038.8</v>
      </c>
      <c r="K236" s="1237">
        <f t="shared" si="8"/>
        <v>0</v>
      </c>
      <c r="L236" s="1237">
        <f t="shared" si="8"/>
        <v>2038.8</v>
      </c>
      <c r="M236" s="1237">
        <f t="shared" si="8"/>
        <v>0</v>
      </c>
      <c r="N236" s="1237">
        <f t="shared" si="8"/>
        <v>0</v>
      </c>
    </row>
    <row r="237" spans="1:18">
      <c r="A237" s="544" t="s">
        <v>828</v>
      </c>
      <c r="B237" s="11"/>
      <c r="C237" s="1237">
        <f>C197+C156+C135+C119+C103+C88+C38+C31+C22</f>
        <v>13.9</v>
      </c>
      <c r="D237" s="1237">
        <f t="shared" ref="D237:N237" si="9">D197+D156+D135+D119+D103+D88+D38+D31+D22</f>
        <v>2543.6000000000004</v>
      </c>
      <c r="E237" s="1237"/>
      <c r="F237" s="1237">
        <f t="shared" si="9"/>
        <v>2496</v>
      </c>
      <c r="G237" s="1237">
        <f t="shared" si="9"/>
        <v>47.6</v>
      </c>
      <c r="H237" s="1237">
        <f t="shared" si="9"/>
        <v>87</v>
      </c>
      <c r="I237" s="1237">
        <f t="shared" si="9"/>
        <v>3</v>
      </c>
      <c r="J237" s="1237">
        <f t="shared" si="9"/>
        <v>348.29999999999995</v>
      </c>
      <c r="K237" s="1237">
        <f t="shared" si="9"/>
        <v>0</v>
      </c>
      <c r="L237" s="1237">
        <f t="shared" si="9"/>
        <v>348.29999999999995</v>
      </c>
      <c r="M237" s="1237">
        <f t="shared" si="9"/>
        <v>0</v>
      </c>
      <c r="N237" s="1237">
        <f t="shared" si="9"/>
        <v>0</v>
      </c>
    </row>
    <row r="238" spans="1:18">
      <c r="A238" s="544" t="s">
        <v>73</v>
      </c>
      <c r="B238" s="11"/>
      <c r="C238" s="1237">
        <f t="shared" ref="C238:D238" si="10">C80+C23</f>
        <v>1.6</v>
      </c>
      <c r="D238" s="1237">
        <f t="shared" si="10"/>
        <v>467.1</v>
      </c>
      <c r="E238" s="1237"/>
      <c r="F238" s="1237">
        <f>F80+F23</f>
        <v>467.1</v>
      </c>
      <c r="G238" s="1237">
        <f t="shared" ref="G238:N238" si="11">G80+G23</f>
        <v>0</v>
      </c>
      <c r="H238" s="1237">
        <f t="shared" si="11"/>
        <v>0</v>
      </c>
      <c r="I238" s="1237">
        <f t="shared" si="11"/>
        <v>1.5</v>
      </c>
      <c r="J238" s="1237">
        <f t="shared" si="11"/>
        <v>206.4</v>
      </c>
      <c r="K238" s="1237">
        <f t="shared" si="11"/>
        <v>0</v>
      </c>
      <c r="L238" s="1237">
        <f t="shared" si="11"/>
        <v>206.4</v>
      </c>
      <c r="M238" s="1237">
        <f t="shared" si="11"/>
        <v>0</v>
      </c>
      <c r="N238" s="1237">
        <f t="shared" si="11"/>
        <v>0</v>
      </c>
    </row>
    <row r="239" spans="1:18">
      <c r="A239" s="1143"/>
      <c r="B239" s="872"/>
      <c r="C239" s="1264">
        <f>C234+C233</f>
        <v>5396.4999999999991</v>
      </c>
      <c r="D239" s="1264">
        <f t="shared" ref="D239:N239" si="12">D234+D233</f>
        <v>662125.19999999995</v>
      </c>
      <c r="E239" s="1264"/>
      <c r="F239" s="1264">
        <f t="shared" si="12"/>
        <v>661277.49999999988</v>
      </c>
      <c r="G239" s="1264">
        <f t="shared" si="12"/>
        <v>847.69999999999993</v>
      </c>
      <c r="H239" s="1264">
        <f t="shared" si="12"/>
        <v>919.1</v>
      </c>
      <c r="I239" s="1264">
        <f t="shared" si="12"/>
        <v>340</v>
      </c>
      <c r="J239" s="1264">
        <f t="shared" si="12"/>
        <v>36084.9</v>
      </c>
      <c r="K239" s="1264" t="e">
        <f t="shared" si="12"/>
        <v>#DIV/0!</v>
      </c>
      <c r="L239" s="1264">
        <f t="shared" si="12"/>
        <v>36072.200000000004</v>
      </c>
      <c r="M239" s="1264">
        <f t="shared" si="12"/>
        <v>12.7</v>
      </c>
      <c r="N239" s="1264">
        <f t="shared" si="12"/>
        <v>3.2</v>
      </c>
    </row>
    <row r="240" spans="1:18">
      <c r="D240" s="1238">
        <f>D233/C233/12*1000</f>
        <v>10162.040822647588</v>
      </c>
    </row>
    <row r="241" spans="3:8">
      <c r="D241" s="1238">
        <f>D239/C239/12*1000</f>
        <v>10224.608542573891</v>
      </c>
      <c r="F241" s="1132" t="s">
        <v>832</v>
      </c>
      <c r="G241" s="11"/>
      <c r="H241" s="1235">
        <f>H232+H231+N232+N231</f>
        <v>70273.800000000017</v>
      </c>
    </row>
    <row r="242" spans="3:8">
      <c r="C242" s="26">
        <f>C232+C231</f>
        <v>8207.7999999999975</v>
      </c>
    </row>
    <row r="243" spans="3:8">
      <c r="C243" s="26">
        <f>I232+I231</f>
        <v>254.60000000000002</v>
      </c>
    </row>
    <row r="244" spans="3:8">
      <c r="C244" s="26">
        <f>C243+C242</f>
        <v>8462.3999999999978</v>
      </c>
      <c r="G244" s="26">
        <f>G236+G229</f>
        <v>2862.8999999999996</v>
      </c>
      <c r="H244" s="26">
        <f>H236+H229</f>
        <v>16078.899999999998</v>
      </c>
    </row>
    <row r="245" spans="3:8">
      <c r="C245" s="26">
        <f>H232+H231</f>
        <v>69239.600000000006</v>
      </c>
    </row>
    <row r="246" spans="3:8">
      <c r="C246" s="26">
        <f>N232+N231</f>
        <v>1034.1999999999998</v>
      </c>
      <c r="F246" s="1132" t="s">
        <v>831</v>
      </c>
      <c r="G246" s="1258">
        <f>G244+H244</f>
        <v>18941.799999999996</v>
      </c>
      <c r="H246" s="11"/>
    </row>
    <row r="247" spans="3:8">
      <c r="C247" s="26">
        <f>C245+C246</f>
        <v>70273.8</v>
      </c>
    </row>
    <row r="249" spans="3:8">
      <c r="C249" s="26">
        <f>C237+I237</f>
        <v>16.899999999999999</v>
      </c>
    </row>
    <row r="250" spans="3:8">
      <c r="C250" s="26">
        <f>H237+N237</f>
        <v>87</v>
      </c>
    </row>
    <row r="252" spans="3:8">
      <c r="C252" s="26">
        <f>C238+I238</f>
        <v>3.1</v>
      </c>
    </row>
    <row r="253" spans="3:8">
      <c r="C253" s="26">
        <f>H238+N238</f>
        <v>0</v>
      </c>
    </row>
  </sheetData>
  <mergeCells count="2">
    <mergeCell ref="A4:A5"/>
    <mergeCell ref="B4:B5"/>
  </mergeCells>
  <pageMargins left="0" right="0" top="0" bottom="0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41"/>
  <sheetViews>
    <sheetView zoomScale="90" zoomScaleNormal="90" workbookViewId="0">
      <selection activeCell="I7" sqref="I7"/>
    </sheetView>
  </sheetViews>
  <sheetFormatPr defaultRowHeight="12.75"/>
  <cols>
    <col min="1" max="1" width="3.28515625" customWidth="1"/>
    <col min="2" max="2" width="26.7109375" customWidth="1"/>
    <col min="7" max="7" width="10.85546875" customWidth="1"/>
    <col min="13" max="13" width="13" customWidth="1"/>
    <col min="14" max="14" width="14.7109375" customWidth="1"/>
    <col min="15" max="15" width="17.5703125" customWidth="1"/>
  </cols>
  <sheetData>
    <row r="1" spans="2:50">
      <c r="B1" s="917"/>
      <c r="E1" s="917"/>
    </row>
    <row r="2" spans="2:50" ht="19.5">
      <c r="B2" s="1490" t="s">
        <v>711</v>
      </c>
      <c r="C2" s="1490"/>
      <c r="D2" s="1490"/>
      <c r="E2" s="1490"/>
      <c r="F2" s="1490"/>
      <c r="G2" s="1490"/>
      <c r="H2" s="1490"/>
      <c r="I2" s="1490"/>
      <c r="J2" s="1490"/>
      <c r="K2" s="1490"/>
      <c r="L2" s="1490"/>
      <c r="M2" s="1490"/>
      <c r="N2" s="1490"/>
      <c r="O2" s="1490"/>
      <c r="P2" s="918"/>
      <c r="Q2" s="918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19"/>
      <c r="AC2" s="919"/>
      <c r="AD2" s="919"/>
      <c r="AE2" s="919"/>
      <c r="AF2" s="919"/>
      <c r="AG2" s="919"/>
      <c r="AH2" s="919"/>
      <c r="AI2" s="919"/>
      <c r="AJ2" s="919"/>
      <c r="AK2" s="919"/>
      <c r="AL2" s="919"/>
      <c r="AM2" s="919"/>
      <c r="AN2" s="919"/>
      <c r="AO2" s="919"/>
      <c r="AP2" s="919"/>
      <c r="AQ2" s="919"/>
      <c r="AR2" s="919"/>
      <c r="AS2" s="919"/>
      <c r="AT2" s="919"/>
      <c r="AU2" s="919"/>
      <c r="AV2" s="919"/>
      <c r="AW2" s="919"/>
      <c r="AX2" s="919"/>
    </row>
    <row r="3" spans="2:50" ht="60.6" customHeight="1">
      <c r="B3" s="1490"/>
      <c r="C3" s="1490"/>
      <c r="D3" s="1490"/>
      <c r="E3" s="1490"/>
      <c r="F3" s="1490"/>
      <c r="G3" s="1490"/>
      <c r="H3" s="1490"/>
      <c r="I3" s="1490"/>
      <c r="J3" s="1490"/>
      <c r="K3" s="1490"/>
      <c r="L3" s="1490"/>
      <c r="M3" s="1490"/>
      <c r="N3" s="1490"/>
      <c r="O3" s="1490"/>
      <c r="P3" s="918"/>
      <c r="Q3" s="918"/>
      <c r="R3" s="920"/>
      <c r="S3" s="920"/>
      <c r="T3" s="920"/>
      <c r="U3" s="920"/>
      <c r="V3" s="920"/>
      <c r="W3" s="920"/>
      <c r="X3" s="920"/>
      <c r="Y3" s="920"/>
      <c r="Z3" s="920"/>
      <c r="AA3" s="920"/>
      <c r="AB3" s="920"/>
      <c r="AC3" s="920"/>
      <c r="AD3" s="920"/>
      <c r="AE3" s="920"/>
      <c r="AF3" s="920"/>
      <c r="AG3" s="920"/>
      <c r="AH3" s="920"/>
      <c r="AI3" s="920"/>
      <c r="AJ3" s="920"/>
      <c r="AK3" s="920"/>
      <c r="AL3" s="920"/>
      <c r="AM3" s="920"/>
      <c r="AN3" s="920"/>
      <c r="AO3" s="920"/>
      <c r="AP3" s="920"/>
      <c r="AQ3" s="920"/>
      <c r="AR3" s="920"/>
      <c r="AS3" s="920"/>
      <c r="AT3" s="920"/>
      <c r="AU3" s="920"/>
      <c r="AV3" s="920"/>
      <c r="AW3" s="920"/>
      <c r="AX3" s="920"/>
    </row>
    <row r="4" spans="2:50" ht="19.5"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920"/>
      <c r="AB4" s="920"/>
      <c r="AC4" s="920"/>
      <c r="AD4" s="920"/>
      <c r="AE4" s="920"/>
      <c r="AF4" s="920"/>
      <c r="AG4" s="920"/>
      <c r="AH4" s="920"/>
      <c r="AI4" s="920"/>
      <c r="AJ4" s="920"/>
      <c r="AK4" s="920"/>
      <c r="AL4" s="920"/>
      <c r="AM4" s="920"/>
      <c r="AN4" s="920"/>
      <c r="AO4" s="920"/>
      <c r="AP4" s="920"/>
      <c r="AQ4" s="920"/>
      <c r="AR4" s="920"/>
      <c r="AS4" s="920"/>
      <c r="AT4" s="920"/>
      <c r="AU4" s="920"/>
      <c r="AV4" s="920"/>
      <c r="AW4" s="920"/>
      <c r="AX4" s="920"/>
    </row>
    <row r="5" spans="2:50" ht="59.45" customHeight="1">
      <c r="B5" s="11"/>
      <c r="C5" s="1491" t="s">
        <v>712</v>
      </c>
      <c r="D5" s="1491"/>
      <c r="E5" s="1491"/>
      <c r="F5" s="922" t="s">
        <v>713</v>
      </c>
      <c r="G5" s="923" t="s">
        <v>714</v>
      </c>
      <c r="H5" s="924" t="s">
        <v>715</v>
      </c>
      <c r="I5" s="924" t="s">
        <v>716</v>
      </c>
      <c r="J5" s="1492" t="s">
        <v>717</v>
      </c>
      <c r="K5" s="1492"/>
      <c r="L5" s="1492"/>
      <c r="M5" s="925" t="s">
        <v>718</v>
      </c>
      <c r="N5" s="922" t="s">
        <v>719</v>
      </c>
      <c r="O5" s="922"/>
      <c r="P5" s="920"/>
      <c r="Q5" s="926"/>
      <c r="R5" s="920"/>
      <c r="S5" s="920"/>
      <c r="T5" s="920"/>
      <c r="U5" s="920"/>
      <c r="V5" s="920"/>
      <c r="W5" s="920"/>
      <c r="X5" s="920"/>
      <c r="Y5" s="920"/>
      <c r="Z5" s="920"/>
      <c r="AA5" s="920"/>
      <c r="AB5" s="920"/>
      <c r="AC5" s="920"/>
      <c r="AD5" s="920"/>
      <c r="AE5" s="920"/>
      <c r="AF5" s="920"/>
      <c r="AG5" s="920"/>
      <c r="AH5" s="920"/>
      <c r="AI5" s="920"/>
      <c r="AJ5" s="920"/>
      <c r="AK5" s="920"/>
      <c r="AL5" s="920"/>
      <c r="AM5" s="920"/>
      <c r="AN5" s="920"/>
      <c r="AO5" s="920"/>
      <c r="AP5" s="920"/>
      <c r="AQ5" s="920"/>
      <c r="AR5" s="920"/>
      <c r="AS5" s="920"/>
      <c r="AT5" s="920"/>
      <c r="AU5" s="920"/>
      <c r="AV5" s="920"/>
      <c r="AW5" s="920"/>
      <c r="AX5" s="920"/>
    </row>
    <row r="6" spans="2:50" s="932" customFormat="1" ht="36" customHeight="1">
      <c r="B6" s="927" t="s">
        <v>720</v>
      </c>
      <c r="C6" s="928" t="s">
        <v>721</v>
      </c>
      <c r="D6" s="928" t="s">
        <v>722</v>
      </c>
      <c r="E6" s="928" t="s">
        <v>723</v>
      </c>
      <c r="F6" s="928"/>
      <c r="G6" s="928"/>
      <c r="H6" s="928"/>
      <c r="I6" s="928"/>
      <c r="J6" s="929" t="s">
        <v>724</v>
      </c>
      <c r="K6" s="929" t="s">
        <v>725</v>
      </c>
      <c r="L6" s="930" t="s">
        <v>726</v>
      </c>
      <c r="M6" s="928"/>
      <c r="N6" s="928"/>
      <c r="O6" s="928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1"/>
      <c r="AG6" s="931"/>
      <c r="AH6" s="931"/>
      <c r="AI6" s="931"/>
      <c r="AJ6" s="931"/>
      <c r="AK6" s="931"/>
      <c r="AL6" s="931"/>
      <c r="AM6" s="931"/>
      <c r="AN6" s="931"/>
      <c r="AO6" s="931"/>
      <c r="AP6" s="931"/>
      <c r="AQ6" s="931"/>
      <c r="AR6" s="931"/>
      <c r="AS6" s="931"/>
      <c r="AT6" s="931"/>
      <c r="AU6" s="931"/>
      <c r="AV6" s="931"/>
      <c r="AW6" s="931"/>
      <c r="AX6" s="931"/>
    </row>
    <row r="7" spans="2:50" ht="27.6" customHeight="1">
      <c r="B7" s="927" t="s">
        <v>727</v>
      </c>
      <c r="C7" s="933">
        <v>31</v>
      </c>
      <c r="D7" s="933">
        <v>35</v>
      </c>
      <c r="E7" s="933">
        <v>37</v>
      </c>
      <c r="F7" s="933">
        <v>18</v>
      </c>
      <c r="G7" s="934">
        <v>6876.6</v>
      </c>
      <c r="H7" s="933">
        <v>1.302</v>
      </c>
      <c r="I7" s="933">
        <f>1.055*1.069595*0.9675758*1.01729*1.007717</f>
        <v>1.1192837068718915</v>
      </c>
      <c r="J7" s="933">
        <v>1.02</v>
      </c>
      <c r="K7" s="933">
        <v>1.58</v>
      </c>
      <c r="L7" s="933">
        <v>1.43</v>
      </c>
      <c r="M7" s="933">
        <v>12</v>
      </c>
      <c r="N7" s="928">
        <v>25</v>
      </c>
      <c r="O7" s="933"/>
      <c r="P7" s="920"/>
      <c r="Q7" s="920"/>
      <c r="R7" s="920"/>
      <c r="S7" s="920"/>
      <c r="T7" s="920"/>
      <c r="U7" s="920"/>
      <c r="V7" s="920"/>
      <c r="W7" s="920"/>
      <c r="X7" s="920"/>
      <c r="Y7" s="920"/>
      <c r="Z7" s="920"/>
      <c r="AA7" s="920"/>
      <c r="AB7" s="920"/>
      <c r="AC7" s="920"/>
      <c r="AD7" s="920"/>
      <c r="AE7" s="920"/>
      <c r="AF7" s="920"/>
      <c r="AG7" s="920"/>
      <c r="AH7" s="920"/>
      <c r="AI7" s="920"/>
      <c r="AJ7" s="920"/>
      <c r="AK7" s="920"/>
      <c r="AL7" s="920"/>
      <c r="AM7" s="920"/>
      <c r="AN7" s="920"/>
      <c r="AO7" s="920"/>
      <c r="AP7" s="920"/>
      <c r="AQ7" s="920"/>
      <c r="AR7" s="920"/>
      <c r="AS7" s="920"/>
      <c r="AT7" s="920"/>
      <c r="AU7" s="920"/>
      <c r="AV7" s="920"/>
      <c r="AW7" s="920"/>
      <c r="AX7" s="920"/>
    </row>
    <row r="8" spans="2:50" ht="24" customHeight="1">
      <c r="B8" s="927" t="s">
        <v>728</v>
      </c>
      <c r="C8" s="933">
        <v>31</v>
      </c>
      <c r="D8" s="933">
        <v>35</v>
      </c>
      <c r="E8" s="933">
        <v>37</v>
      </c>
      <c r="F8" s="933">
        <v>18</v>
      </c>
      <c r="G8" s="934">
        <v>6876.6</v>
      </c>
      <c r="H8" s="933">
        <v>1.302</v>
      </c>
      <c r="I8" s="933">
        <f t="shared" ref="I8:I16" si="0">1.055*1.069595*0.9675758*1.01729*1.007717</f>
        <v>1.1192837068718915</v>
      </c>
      <c r="J8" s="933">
        <v>1.02</v>
      </c>
      <c r="K8" s="933">
        <v>1.58</v>
      </c>
      <c r="L8" s="933">
        <v>1.43</v>
      </c>
      <c r="M8" s="933">
        <v>12</v>
      </c>
      <c r="N8" s="928">
        <v>25</v>
      </c>
      <c r="O8" s="933"/>
      <c r="P8" s="920"/>
      <c r="Q8" s="920"/>
      <c r="R8" s="920"/>
      <c r="S8" s="920"/>
      <c r="T8" s="920"/>
      <c r="U8" s="920"/>
      <c r="V8" s="920"/>
      <c r="W8" s="920"/>
      <c r="X8" s="920"/>
      <c r="Y8" s="920"/>
      <c r="Z8" s="920"/>
      <c r="AA8" s="920"/>
      <c r="AB8" s="920"/>
      <c r="AC8" s="920"/>
      <c r="AD8" s="920"/>
      <c r="AE8" s="920"/>
      <c r="AF8" s="920"/>
      <c r="AG8" s="920"/>
      <c r="AH8" s="920"/>
      <c r="AI8" s="920"/>
      <c r="AJ8" s="920"/>
      <c r="AK8" s="920"/>
      <c r="AL8" s="920"/>
      <c r="AM8" s="920"/>
      <c r="AN8" s="920"/>
      <c r="AO8" s="920"/>
      <c r="AP8" s="920"/>
      <c r="AQ8" s="920"/>
      <c r="AR8" s="920"/>
      <c r="AS8" s="920"/>
      <c r="AT8" s="920"/>
      <c r="AU8" s="920"/>
      <c r="AV8" s="920"/>
      <c r="AW8" s="920"/>
      <c r="AX8" s="920"/>
    </row>
    <row r="9" spans="2:50" ht="23.45" customHeight="1">
      <c r="B9" s="927" t="s">
        <v>729</v>
      </c>
      <c r="C9" s="933">
        <v>31</v>
      </c>
      <c r="D9" s="933">
        <v>35</v>
      </c>
      <c r="E9" s="933">
        <v>37</v>
      </c>
      <c r="F9" s="933">
        <v>18</v>
      </c>
      <c r="G9" s="934">
        <v>6876.6</v>
      </c>
      <c r="H9" s="933">
        <v>1.302</v>
      </c>
      <c r="I9" s="933">
        <f t="shared" si="0"/>
        <v>1.1192837068718915</v>
      </c>
      <c r="J9" s="933">
        <v>1.02</v>
      </c>
      <c r="K9" s="933">
        <v>1.58</v>
      </c>
      <c r="L9" s="933">
        <v>1.43</v>
      </c>
      <c r="M9" s="933">
        <v>12</v>
      </c>
      <c r="N9" s="928">
        <v>25</v>
      </c>
      <c r="O9" s="933"/>
      <c r="P9" s="920"/>
      <c r="Q9" s="920"/>
      <c r="R9" s="920"/>
      <c r="S9" s="920"/>
      <c r="T9" s="920"/>
      <c r="U9" s="920"/>
      <c r="V9" s="920"/>
      <c r="W9" s="920"/>
      <c r="X9" s="920"/>
      <c r="Y9" s="920"/>
      <c r="Z9" s="920"/>
      <c r="AA9" s="920"/>
      <c r="AB9" s="920"/>
      <c r="AC9" s="920"/>
      <c r="AD9" s="920"/>
      <c r="AE9" s="920"/>
      <c r="AF9" s="920"/>
      <c r="AG9" s="920"/>
      <c r="AH9" s="920"/>
      <c r="AI9" s="920"/>
      <c r="AJ9" s="920"/>
      <c r="AK9" s="920"/>
      <c r="AL9" s="920"/>
      <c r="AM9" s="920"/>
      <c r="AN9" s="920"/>
      <c r="AO9" s="920"/>
      <c r="AP9" s="920"/>
      <c r="AQ9" s="920"/>
      <c r="AR9" s="920"/>
      <c r="AS9" s="920"/>
      <c r="AT9" s="920"/>
      <c r="AU9" s="920"/>
      <c r="AV9" s="920"/>
      <c r="AW9" s="920"/>
      <c r="AX9" s="920"/>
    </row>
    <row r="10" spans="2:50" ht="21" customHeight="1">
      <c r="B10" s="927" t="s">
        <v>730</v>
      </c>
      <c r="C10" s="933">
        <v>31</v>
      </c>
      <c r="D10" s="933">
        <v>35</v>
      </c>
      <c r="E10" s="933">
        <v>37</v>
      </c>
      <c r="F10" s="933">
        <v>18</v>
      </c>
      <c r="G10" s="934">
        <v>6876.6</v>
      </c>
      <c r="H10" s="933">
        <v>1.302</v>
      </c>
      <c r="I10" s="933">
        <f t="shared" si="0"/>
        <v>1.1192837068718915</v>
      </c>
      <c r="J10" s="933">
        <v>1.02</v>
      </c>
      <c r="K10" s="933">
        <v>1.58</v>
      </c>
      <c r="L10" s="933">
        <v>1.43</v>
      </c>
      <c r="M10" s="933">
        <v>12</v>
      </c>
      <c r="N10" s="935">
        <f>12+8</f>
        <v>20</v>
      </c>
      <c r="O10" s="933"/>
      <c r="P10" s="920"/>
      <c r="Q10" s="920"/>
      <c r="R10" s="920"/>
      <c r="S10" s="920"/>
      <c r="T10" s="920"/>
      <c r="U10" s="920"/>
      <c r="V10" s="920"/>
      <c r="W10" s="920"/>
      <c r="X10" s="920"/>
      <c r="Y10" s="920"/>
      <c r="Z10" s="920"/>
      <c r="AA10" s="920"/>
      <c r="AB10" s="920"/>
      <c r="AC10" s="920"/>
      <c r="AD10" s="920"/>
      <c r="AE10" s="920"/>
      <c r="AF10" s="920"/>
      <c r="AG10" s="920"/>
      <c r="AH10" s="920"/>
      <c r="AI10" s="920"/>
      <c r="AJ10" s="920"/>
      <c r="AK10" s="920"/>
      <c r="AL10" s="920"/>
      <c r="AM10" s="920"/>
      <c r="AN10" s="920"/>
      <c r="AO10" s="920"/>
      <c r="AP10" s="920"/>
      <c r="AQ10" s="920"/>
      <c r="AR10" s="920"/>
      <c r="AS10" s="920"/>
      <c r="AT10" s="920"/>
      <c r="AU10" s="920"/>
      <c r="AV10" s="920"/>
      <c r="AW10" s="920"/>
      <c r="AX10" s="920"/>
    </row>
    <row r="11" spans="2:50" ht="24" customHeight="1">
      <c r="B11" s="936" t="s">
        <v>731</v>
      </c>
      <c r="C11" s="933">
        <v>31</v>
      </c>
      <c r="D11" s="933">
        <v>35</v>
      </c>
      <c r="E11" s="933">
        <v>37</v>
      </c>
      <c r="F11" s="933">
        <v>18</v>
      </c>
      <c r="G11" s="934">
        <v>6876.6</v>
      </c>
      <c r="H11" s="933">
        <v>1.302</v>
      </c>
      <c r="I11" s="933">
        <f t="shared" si="0"/>
        <v>1.1192837068718915</v>
      </c>
      <c r="J11" s="933">
        <v>1.02</v>
      </c>
      <c r="K11" s="933">
        <v>1.58</v>
      </c>
      <c r="L11" s="933">
        <v>1.43</v>
      </c>
      <c r="M11" s="933">
        <v>12</v>
      </c>
      <c r="N11" s="935">
        <v>20</v>
      </c>
      <c r="O11" s="933"/>
      <c r="P11" s="920"/>
      <c r="Q11" s="920"/>
      <c r="R11" s="920"/>
      <c r="S11" s="920"/>
      <c r="T11" s="920"/>
      <c r="U11" s="920"/>
      <c r="V11" s="920"/>
      <c r="W11" s="920"/>
      <c r="X11" s="920"/>
      <c r="Y11" s="920"/>
      <c r="Z11" s="920"/>
      <c r="AA11" s="920"/>
      <c r="AB11" s="920"/>
      <c r="AC11" s="920"/>
      <c r="AD11" s="920"/>
      <c r="AE11" s="920"/>
      <c r="AF11" s="920"/>
      <c r="AG11" s="920"/>
      <c r="AH11" s="920"/>
      <c r="AI11" s="920"/>
      <c r="AJ11" s="920"/>
      <c r="AK11" s="920"/>
      <c r="AL11" s="920"/>
      <c r="AM11" s="920"/>
      <c r="AN11" s="920"/>
      <c r="AO11" s="920"/>
      <c r="AP11" s="920"/>
      <c r="AQ11" s="920"/>
      <c r="AR11" s="920"/>
      <c r="AS11" s="920"/>
      <c r="AT11" s="920"/>
      <c r="AU11" s="920"/>
      <c r="AV11" s="920"/>
      <c r="AW11" s="920"/>
      <c r="AX11" s="920"/>
    </row>
    <row r="12" spans="2:50" ht="24.6" customHeight="1">
      <c r="B12" s="936" t="s">
        <v>732</v>
      </c>
      <c r="C12" s="933">
        <v>31</v>
      </c>
      <c r="D12" s="933">
        <v>35</v>
      </c>
      <c r="E12" s="933">
        <v>37</v>
      </c>
      <c r="F12" s="933">
        <v>18</v>
      </c>
      <c r="G12" s="934">
        <v>6876.6</v>
      </c>
      <c r="H12" s="933">
        <v>1.302</v>
      </c>
      <c r="I12" s="933">
        <f t="shared" si="0"/>
        <v>1.1192837068718915</v>
      </c>
      <c r="J12" s="933">
        <v>1.02</v>
      </c>
      <c r="K12" s="933">
        <v>1.58</v>
      </c>
      <c r="L12" s="933">
        <v>1.43</v>
      </c>
      <c r="M12" s="933">
        <v>12</v>
      </c>
      <c r="N12" s="935">
        <f>12+8</f>
        <v>20</v>
      </c>
      <c r="O12" s="933"/>
      <c r="P12" s="920"/>
      <c r="Q12" s="920"/>
      <c r="R12" s="920"/>
      <c r="S12" s="920"/>
      <c r="T12" s="920"/>
      <c r="U12" s="920"/>
      <c r="V12" s="920"/>
      <c r="W12" s="920"/>
      <c r="X12" s="920"/>
      <c r="Y12" s="920"/>
      <c r="Z12" s="920"/>
      <c r="AA12" s="920"/>
      <c r="AB12" s="920"/>
      <c r="AC12" s="920"/>
      <c r="AD12" s="920"/>
      <c r="AE12" s="920"/>
      <c r="AF12" s="920"/>
      <c r="AG12" s="920"/>
      <c r="AH12" s="920"/>
      <c r="AI12" s="920"/>
      <c r="AJ12" s="920"/>
      <c r="AK12" s="920"/>
      <c r="AL12" s="920"/>
      <c r="AM12" s="920"/>
      <c r="AN12" s="920"/>
      <c r="AO12" s="920"/>
      <c r="AP12" s="920"/>
      <c r="AQ12" s="920"/>
      <c r="AR12" s="920"/>
      <c r="AS12" s="920"/>
      <c r="AT12" s="920"/>
      <c r="AU12" s="920"/>
      <c r="AV12" s="920"/>
      <c r="AW12" s="920"/>
      <c r="AX12" s="920"/>
    </row>
    <row r="13" spans="2:50" ht="23.45" customHeight="1">
      <c r="B13" s="936" t="s">
        <v>733</v>
      </c>
      <c r="C13" s="933">
        <v>31</v>
      </c>
      <c r="D13" s="933">
        <v>35</v>
      </c>
      <c r="E13" s="933">
        <v>37</v>
      </c>
      <c r="F13" s="933">
        <v>18</v>
      </c>
      <c r="G13" s="934">
        <v>6876.6</v>
      </c>
      <c r="H13" s="933">
        <v>1.302</v>
      </c>
      <c r="I13" s="933">
        <f t="shared" si="0"/>
        <v>1.1192837068718915</v>
      </c>
      <c r="J13" s="933">
        <v>1.02</v>
      </c>
      <c r="K13" s="933">
        <v>1.58</v>
      </c>
      <c r="L13" s="933">
        <v>1.43</v>
      </c>
      <c r="M13" s="933">
        <v>12</v>
      </c>
      <c r="N13" s="928">
        <v>20</v>
      </c>
      <c r="O13" s="933"/>
      <c r="P13" s="920"/>
      <c r="Q13" s="920"/>
      <c r="R13" s="920"/>
      <c r="S13" s="920"/>
      <c r="T13" s="920"/>
      <c r="U13" s="920"/>
      <c r="V13" s="920"/>
      <c r="W13" s="920"/>
      <c r="X13" s="920"/>
      <c r="Y13" s="920"/>
      <c r="Z13" s="920"/>
      <c r="AA13" s="920"/>
      <c r="AB13" s="920"/>
      <c r="AC13" s="920"/>
      <c r="AD13" s="920"/>
      <c r="AE13" s="920"/>
      <c r="AF13" s="920"/>
      <c r="AG13" s="920"/>
      <c r="AH13" s="920"/>
      <c r="AI13" s="920"/>
      <c r="AJ13" s="920"/>
      <c r="AK13" s="920"/>
      <c r="AL13" s="920"/>
      <c r="AM13" s="920"/>
      <c r="AN13" s="920"/>
      <c r="AO13" s="920"/>
      <c r="AP13" s="920"/>
      <c r="AQ13" s="920"/>
      <c r="AR13" s="920"/>
      <c r="AS13" s="920"/>
      <c r="AT13" s="920"/>
      <c r="AU13" s="920"/>
      <c r="AV13" s="920"/>
      <c r="AW13" s="920"/>
      <c r="AX13" s="920"/>
    </row>
    <row r="14" spans="2:50" ht="21" customHeight="1">
      <c r="B14" s="936" t="s">
        <v>734</v>
      </c>
      <c r="C14" s="933">
        <v>31</v>
      </c>
      <c r="D14" s="933">
        <v>35</v>
      </c>
      <c r="E14" s="933">
        <v>37</v>
      </c>
      <c r="F14" s="933">
        <v>18</v>
      </c>
      <c r="G14" s="934">
        <v>6876.6</v>
      </c>
      <c r="H14" s="933">
        <v>1.302</v>
      </c>
      <c r="I14" s="933">
        <f t="shared" si="0"/>
        <v>1.1192837068718915</v>
      </c>
      <c r="J14" s="933">
        <v>1.02</v>
      </c>
      <c r="K14" s="933">
        <v>1.58</v>
      </c>
      <c r="L14" s="933">
        <v>1.43</v>
      </c>
      <c r="M14" s="933">
        <v>12</v>
      </c>
      <c r="N14" s="928">
        <v>20</v>
      </c>
      <c r="O14" s="933"/>
      <c r="P14" s="920"/>
      <c r="Q14" s="920"/>
      <c r="R14" s="920"/>
      <c r="S14" s="920"/>
      <c r="T14" s="920"/>
      <c r="U14" s="920"/>
      <c r="V14" s="920"/>
      <c r="W14" s="920"/>
      <c r="X14" s="920"/>
      <c r="Y14" s="920"/>
      <c r="Z14" s="920"/>
      <c r="AA14" s="920"/>
      <c r="AB14" s="920"/>
      <c r="AC14" s="920"/>
      <c r="AD14" s="920"/>
      <c r="AE14" s="920"/>
      <c r="AF14" s="920"/>
      <c r="AG14" s="920"/>
      <c r="AH14" s="920"/>
      <c r="AI14" s="920"/>
      <c r="AJ14" s="920"/>
      <c r="AK14" s="920"/>
      <c r="AL14" s="920"/>
      <c r="AM14" s="920"/>
      <c r="AN14" s="920"/>
      <c r="AO14" s="920"/>
      <c r="AP14" s="920"/>
      <c r="AQ14" s="920"/>
      <c r="AR14" s="920"/>
      <c r="AS14" s="920"/>
      <c r="AT14" s="920"/>
      <c r="AU14" s="920"/>
      <c r="AV14" s="920"/>
      <c r="AW14" s="920"/>
      <c r="AX14" s="920"/>
    </row>
    <row r="15" spans="2:50" ht="28.9" customHeight="1">
      <c r="B15" s="937" t="s">
        <v>735</v>
      </c>
      <c r="C15" s="933">
        <v>25</v>
      </c>
      <c r="D15" s="933">
        <v>26</v>
      </c>
      <c r="E15" s="933">
        <v>23</v>
      </c>
      <c r="F15" s="933">
        <v>18</v>
      </c>
      <c r="G15" s="934">
        <v>6876.6</v>
      </c>
      <c r="H15" s="933">
        <v>1.302</v>
      </c>
      <c r="I15" s="933">
        <f t="shared" si="0"/>
        <v>1.1192837068718915</v>
      </c>
      <c r="J15" s="933">
        <v>1.02</v>
      </c>
      <c r="K15" s="933">
        <v>1.58</v>
      </c>
      <c r="L15" s="933">
        <v>1.43</v>
      </c>
      <c r="M15" s="933">
        <v>12</v>
      </c>
      <c r="N15" s="928">
        <v>25</v>
      </c>
      <c r="O15" s="933"/>
      <c r="P15" s="920"/>
      <c r="Q15" s="920"/>
      <c r="R15" s="920"/>
      <c r="S15" s="920"/>
      <c r="T15" s="920"/>
      <c r="U15" s="920"/>
      <c r="V15" s="920"/>
      <c r="W15" s="920"/>
      <c r="X15" s="920"/>
      <c r="Y15" s="920"/>
      <c r="Z15" s="920"/>
      <c r="AA15" s="920"/>
      <c r="AB15" s="920"/>
      <c r="AC15" s="920"/>
      <c r="AD15" s="920"/>
      <c r="AE15" s="920"/>
      <c r="AF15" s="920"/>
      <c r="AG15" s="920"/>
      <c r="AH15" s="920"/>
      <c r="AI15" s="920"/>
      <c r="AJ15" s="920"/>
      <c r="AK15" s="920"/>
      <c r="AL15" s="920"/>
      <c r="AM15" s="920"/>
      <c r="AN15" s="920"/>
      <c r="AO15" s="920"/>
      <c r="AP15" s="920"/>
      <c r="AQ15" s="920"/>
      <c r="AR15" s="920"/>
      <c r="AS15" s="920"/>
      <c r="AT15" s="920"/>
      <c r="AU15" s="920"/>
      <c r="AV15" s="920"/>
      <c r="AW15" s="920"/>
      <c r="AX15" s="920"/>
    </row>
    <row r="16" spans="2:50" ht="19.5">
      <c r="B16" s="938" t="s">
        <v>736</v>
      </c>
      <c r="C16" s="933">
        <v>25</v>
      </c>
      <c r="D16" s="933">
        <v>26</v>
      </c>
      <c r="E16" s="933">
        <v>23</v>
      </c>
      <c r="F16" s="933">
        <v>18</v>
      </c>
      <c r="G16" s="934">
        <v>6876.6</v>
      </c>
      <c r="H16" s="933">
        <v>1.302</v>
      </c>
      <c r="I16" s="933">
        <f t="shared" si="0"/>
        <v>1.1192837068718915</v>
      </c>
      <c r="J16" s="933">
        <v>1.02</v>
      </c>
      <c r="K16" s="933">
        <v>1.58</v>
      </c>
      <c r="L16" s="933">
        <v>1</v>
      </c>
      <c r="M16" s="933">
        <v>12</v>
      </c>
      <c r="N16" s="935">
        <v>15</v>
      </c>
      <c r="O16" s="933"/>
      <c r="P16" s="920"/>
      <c r="Q16" s="920"/>
      <c r="R16" s="920"/>
      <c r="S16" s="920"/>
      <c r="T16" s="920"/>
      <c r="U16" s="920"/>
      <c r="V16" s="920"/>
      <c r="W16" s="920"/>
      <c r="X16" s="920"/>
      <c r="Y16" s="920"/>
      <c r="Z16" s="920"/>
      <c r="AA16" s="920"/>
      <c r="AB16" s="920"/>
      <c r="AC16" s="920"/>
      <c r="AD16" s="920"/>
      <c r="AE16" s="920"/>
      <c r="AF16" s="920"/>
      <c r="AG16" s="920"/>
      <c r="AH16" s="920"/>
      <c r="AI16" s="920"/>
      <c r="AJ16" s="920"/>
      <c r="AK16" s="920"/>
      <c r="AL16" s="920"/>
      <c r="AM16" s="920"/>
      <c r="AN16" s="920"/>
      <c r="AO16" s="920"/>
      <c r="AP16" s="920"/>
      <c r="AQ16" s="920"/>
      <c r="AR16" s="920"/>
      <c r="AS16" s="920"/>
      <c r="AT16" s="920"/>
      <c r="AU16" s="920"/>
      <c r="AV16" s="920"/>
      <c r="AW16" s="920"/>
      <c r="AX16" s="920"/>
    </row>
    <row r="17" spans="2:50" ht="19.5">
      <c r="B17" s="939"/>
      <c r="C17" s="940"/>
      <c r="D17" s="940"/>
      <c r="E17" s="940"/>
      <c r="F17" s="940"/>
      <c r="G17" s="940"/>
      <c r="H17" s="940"/>
      <c r="I17" s="940"/>
      <c r="J17" s="940"/>
      <c r="K17" s="940"/>
      <c r="L17" s="940"/>
      <c r="M17" s="940"/>
      <c r="N17" s="941"/>
      <c r="O17" s="94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0"/>
      <c r="AG17" s="920"/>
      <c r="AH17" s="920"/>
      <c r="AI17" s="920"/>
      <c r="AJ17" s="920"/>
      <c r="AK17" s="920"/>
      <c r="AL17" s="920"/>
      <c r="AM17" s="920"/>
      <c r="AN17" s="920"/>
      <c r="AO17" s="920"/>
      <c r="AP17" s="920"/>
      <c r="AQ17" s="920"/>
      <c r="AR17" s="920"/>
      <c r="AS17" s="920"/>
      <c r="AT17" s="920"/>
      <c r="AU17" s="920"/>
      <c r="AV17" s="920"/>
      <c r="AW17" s="920"/>
      <c r="AX17" s="920"/>
    </row>
    <row r="18" spans="2:50" ht="18.75">
      <c r="B18" s="942"/>
      <c r="C18" s="1491" t="s">
        <v>737</v>
      </c>
      <c r="D18" s="1491"/>
      <c r="E18" s="1491"/>
      <c r="F18" s="1493" t="s">
        <v>738</v>
      </c>
      <c r="G18" s="1493" t="s">
        <v>739</v>
      </c>
      <c r="H18" s="1493"/>
      <c r="I18" s="1493"/>
      <c r="J18" s="1494" t="s">
        <v>740</v>
      </c>
      <c r="K18" s="1495"/>
      <c r="L18" s="1496"/>
      <c r="M18" s="1497" t="s">
        <v>741</v>
      </c>
      <c r="N18" s="1497"/>
      <c r="O18" s="1497"/>
      <c r="P18" s="920"/>
      <c r="Q18" s="920"/>
      <c r="R18" s="920"/>
      <c r="S18" s="920"/>
      <c r="T18" s="920"/>
      <c r="U18" s="920"/>
      <c r="V18" s="920"/>
      <c r="W18" s="920"/>
      <c r="X18" s="920"/>
      <c r="Y18" s="920"/>
      <c r="Z18" s="920"/>
      <c r="AA18" s="920"/>
      <c r="AB18" s="920"/>
      <c r="AC18" s="920"/>
      <c r="AD18" s="920"/>
      <c r="AE18" s="920"/>
      <c r="AF18" s="920"/>
      <c r="AG18" s="920"/>
      <c r="AH18" s="920"/>
      <c r="AI18" s="920"/>
      <c r="AJ18" s="920"/>
      <c r="AK18" s="920"/>
      <c r="AL18" s="920"/>
      <c r="AM18" s="920"/>
      <c r="AN18" s="920"/>
      <c r="AO18" s="920"/>
      <c r="AP18" s="920"/>
      <c r="AQ18" s="920"/>
      <c r="AR18" s="920"/>
      <c r="AS18" s="920"/>
      <c r="AT18" s="920"/>
      <c r="AU18" s="920"/>
      <c r="AV18" s="920"/>
      <c r="AW18" s="920"/>
      <c r="AX18" s="920"/>
    </row>
    <row r="19" spans="2:50" ht="26.45" customHeight="1">
      <c r="B19" s="927" t="s">
        <v>720</v>
      </c>
      <c r="C19" s="928" t="s">
        <v>721</v>
      </c>
      <c r="D19" s="928" t="s">
        <v>722</v>
      </c>
      <c r="E19" s="928" t="s">
        <v>723</v>
      </c>
      <c r="F19" s="1493"/>
      <c r="G19" s="928" t="s">
        <v>721</v>
      </c>
      <c r="H19" s="928" t="s">
        <v>722</v>
      </c>
      <c r="I19" s="928" t="s">
        <v>723</v>
      </c>
      <c r="J19" s="928" t="s">
        <v>721</v>
      </c>
      <c r="K19" s="928" t="s">
        <v>722</v>
      </c>
      <c r="L19" s="928" t="s">
        <v>723</v>
      </c>
      <c r="M19" s="943" t="s">
        <v>721</v>
      </c>
      <c r="N19" s="943" t="s">
        <v>722</v>
      </c>
      <c r="O19" s="943" t="s">
        <v>723</v>
      </c>
      <c r="P19" s="920"/>
      <c r="Q19" s="920"/>
      <c r="R19" s="920"/>
      <c r="S19" s="920"/>
      <c r="T19" s="920"/>
      <c r="U19" s="920"/>
      <c r="V19" s="920"/>
      <c r="W19" s="920"/>
      <c r="X19" s="920"/>
      <c r="Y19" s="920"/>
      <c r="Z19" s="920"/>
      <c r="AA19" s="920"/>
      <c r="AB19" s="920"/>
      <c r="AC19" s="920"/>
      <c r="AD19" s="920"/>
      <c r="AE19" s="920"/>
      <c r="AF19" s="920"/>
      <c r="AG19" s="920"/>
      <c r="AH19" s="920"/>
      <c r="AI19" s="920"/>
      <c r="AJ19" s="920"/>
      <c r="AK19" s="920"/>
      <c r="AL19" s="920"/>
      <c r="AM19" s="920"/>
      <c r="AN19" s="920"/>
      <c r="AO19" s="920"/>
      <c r="AP19" s="920"/>
      <c r="AQ19" s="920"/>
      <c r="AR19" s="920"/>
      <c r="AS19" s="920"/>
      <c r="AT19" s="920"/>
      <c r="AU19" s="920"/>
      <c r="AV19" s="920"/>
      <c r="AW19" s="920"/>
      <c r="AX19" s="920"/>
    </row>
    <row r="20" spans="2:50" ht="30.6" customHeight="1">
      <c r="B20" s="927" t="s">
        <v>727</v>
      </c>
      <c r="C20" s="928">
        <v>1</v>
      </c>
      <c r="D20" s="933">
        <v>1.1299999999999999</v>
      </c>
      <c r="E20" s="933">
        <v>1.19</v>
      </c>
      <c r="F20" s="944">
        <v>1</v>
      </c>
      <c r="G20" s="944">
        <v>1.5</v>
      </c>
      <c r="H20" s="944">
        <v>1.39</v>
      </c>
      <c r="I20" s="944">
        <v>1.26</v>
      </c>
      <c r="J20" s="945">
        <v>1</v>
      </c>
      <c r="K20" s="945">
        <v>1.0609999999999999</v>
      </c>
      <c r="L20" s="945">
        <v>1</v>
      </c>
      <c r="M20" s="946">
        <f>ROUND((((C7/F7*G7*H7*I7*J7*K7*L7*M7*C20*F20*G20*J20)/N7)+2520+93),2)</f>
        <v>31250.82</v>
      </c>
      <c r="N20" s="947">
        <f>ROUND((((D7/F7*G7*H7*I7*J7*K7*L7*M7*D20*F20*H20*K20)/N7)+2520+93),2)</f>
        <v>38535.26</v>
      </c>
      <c r="O20" s="947">
        <f>ROUND((((E7/F7*G7*H7*I7*J7*K7*L7*M7*E20*F20*I20*L20)/N7)+2520+93),2)</f>
        <v>36779.949999999997</v>
      </c>
      <c r="P20" s="920"/>
      <c r="Q20" s="948"/>
      <c r="R20" s="931"/>
      <c r="S20" s="920"/>
      <c r="T20" s="920"/>
      <c r="U20" s="920"/>
      <c r="V20" s="920"/>
      <c r="W20" s="920"/>
      <c r="X20" s="920"/>
      <c r="Y20" s="920"/>
      <c r="Z20" s="920"/>
      <c r="AA20" s="920"/>
      <c r="AB20" s="920"/>
      <c r="AC20" s="920"/>
      <c r="AD20" s="920"/>
      <c r="AE20" s="920"/>
      <c r="AF20" s="920"/>
      <c r="AG20" s="920"/>
      <c r="AH20" s="920"/>
      <c r="AI20" s="920"/>
      <c r="AJ20" s="920"/>
      <c r="AK20" s="920"/>
      <c r="AL20" s="920"/>
      <c r="AM20" s="920"/>
      <c r="AN20" s="920"/>
      <c r="AO20" s="920"/>
      <c r="AP20" s="920"/>
      <c r="AQ20" s="920"/>
      <c r="AR20" s="920"/>
      <c r="AS20" s="920"/>
      <c r="AT20" s="920"/>
      <c r="AU20" s="920"/>
      <c r="AV20" s="920"/>
      <c r="AW20" s="920"/>
      <c r="AX20" s="920"/>
    </row>
    <row r="21" spans="2:50" ht="25.9" customHeight="1">
      <c r="B21" s="927" t="s">
        <v>728</v>
      </c>
      <c r="C21" s="928">
        <v>1</v>
      </c>
      <c r="D21" s="933">
        <v>1.1299999999999999</v>
      </c>
      <c r="E21" s="933">
        <v>1.19</v>
      </c>
      <c r="F21" s="944">
        <v>1.35</v>
      </c>
      <c r="G21" s="944">
        <v>1.5</v>
      </c>
      <c r="H21" s="944">
        <v>1.39</v>
      </c>
      <c r="I21" s="944">
        <v>1.26</v>
      </c>
      <c r="J21" s="945">
        <v>1</v>
      </c>
      <c r="K21" s="945">
        <v>1.0609999999999999</v>
      </c>
      <c r="L21" s="945">
        <v>1</v>
      </c>
      <c r="M21" s="946">
        <f>ROUND((((C8/F8*G8*H8*I8*J8*K8*L8*M8*C21*F21*G21*J21)/N8)+2520+93),2)</f>
        <v>41274.050000000003</v>
      </c>
      <c r="N21" s="947">
        <f>ROUND((((D8/F8*G8*H8*I8*J8*K8*L8*M8*D21*F21*H21*K21)/N8)+2520+93),2)</f>
        <v>51108.05</v>
      </c>
      <c r="O21" s="947">
        <f>ROUND((((E8/F8*G8*H8*I8*J8*K8*L8*M8*E21*F21*I21*L21)/N8)+2520+93),2)</f>
        <v>48738.38</v>
      </c>
      <c r="P21" s="920"/>
      <c r="Q21" s="931"/>
      <c r="R21" s="931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0"/>
      <c r="AG21" s="920"/>
      <c r="AH21" s="920"/>
      <c r="AI21" s="920"/>
      <c r="AJ21" s="920"/>
      <c r="AK21" s="920"/>
      <c r="AL21" s="920"/>
      <c r="AM21" s="920"/>
      <c r="AN21" s="920"/>
      <c r="AO21" s="920"/>
      <c r="AP21" s="920"/>
      <c r="AQ21" s="920"/>
      <c r="AR21" s="920"/>
      <c r="AS21" s="920"/>
      <c r="AT21" s="920"/>
      <c r="AU21" s="920"/>
      <c r="AV21" s="920"/>
      <c r="AW21" s="920"/>
      <c r="AX21" s="920"/>
    </row>
    <row r="22" spans="2:50" ht="26.45" customHeight="1">
      <c r="B22" s="927" t="s">
        <v>729</v>
      </c>
      <c r="C22" s="928">
        <v>1</v>
      </c>
      <c r="D22" s="933">
        <v>1.1299999999999999</v>
      </c>
      <c r="E22" s="933">
        <v>1.19</v>
      </c>
      <c r="F22" s="944">
        <v>1.1499999999999999</v>
      </c>
      <c r="G22" s="944">
        <v>1.5</v>
      </c>
      <c r="H22" s="944">
        <v>1.39</v>
      </c>
      <c r="I22" s="944">
        <v>1.26</v>
      </c>
      <c r="J22" s="945">
        <v>1</v>
      </c>
      <c r="K22" s="945">
        <v>1.0609999999999999</v>
      </c>
      <c r="L22" s="945">
        <v>1</v>
      </c>
      <c r="M22" s="946">
        <f>ROUND((((C9/F9*G9*H9*I9*J9*K9*L9*M9*C22*F22*G22*J22)/N9)+2520+93),2)</f>
        <v>35546.49</v>
      </c>
      <c r="N22" s="947">
        <f>ROUND((((D9/F9*G9*H9*I9*J9*K9*L9*M9*D22*F22*H22*K22)/N9)+2520+93),2)</f>
        <v>43923.6</v>
      </c>
      <c r="O22" s="947">
        <f>ROUND((((E9/F9*G9*H9*I9*J9*K9*L9*M9*E22*F22*I22*L22)/N9)+2520+93),2)</f>
        <v>41904.99</v>
      </c>
      <c r="P22" s="920"/>
      <c r="Q22" s="931"/>
      <c r="R22" s="931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920"/>
      <c r="AF22" s="920"/>
      <c r="AG22" s="920"/>
      <c r="AH22" s="920"/>
      <c r="AI22" s="920"/>
      <c r="AJ22" s="920"/>
      <c r="AK22" s="920"/>
      <c r="AL22" s="920"/>
      <c r="AM22" s="920"/>
      <c r="AN22" s="920"/>
      <c r="AO22" s="920"/>
      <c r="AP22" s="920"/>
      <c r="AQ22" s="920"/>
      <c r="AR22" s="920"/>
      <c r="AS22" s="920"/>
      <c r="AT22" s="920"/>
      <c r="AU22" s="920"/>
      <c r="AV22" s="920"/>
      <c r="AW22" s="920"/>
      <c r="AX22" s="920"/>
    </row>
    <row r="23" spans="2:50" ht="24.6" customHeight="1">
      <c r="B23" s="927" t="s">
        <v>730</v>
      </c>
      <c r="C23" s="928">
        <v>1</v>
      </c>
      <c r="D23" s="933">
        <v>1.1299999999999999</v>
      </c>
      <c r="E23" s="933">
        <v>1.19</v>
      </c>
      <c r="F23" s="944">
        <v>1.2</v>
      </c>
      <c r="G23" s="944">
        <v>1.5</v>
      </c>
      <c r="H23" s="944">
        <v>1.39</v>
      </c>
      <c r="I23" s="944">
        <v>1.26</v>
      </c>
      <c r="J23" s="945">
        <v>1</v>
      </c>
      <c r="K23" s="945">
        <v>1.0609999999999999</v>
      </c>
      <c r="L23" s="945">
        <v>1</v>
      </c>
      <c r="M23" s="946">
        <f>ROUND((((C10/F10*G10*H10*I10*J10*K10*L10*M10*C23*F23*G23*J23)/N10)+2520+93),2)</f>
        <v>45569.73</v>
      </c>
      <c r="N23" s="947">
        <f>ROUND((((D10/F10*G10*H10*I10*J10*K10*L10*M10*D23*F23*H23*K23)/N10)+2520+93),2)</f>
        <v>56496.39</v>
      </c>
      <c r="O23" s="947">
        <f>ROUND((((E10/F10*G10*H10*I10*J10*K10*L10*M10*E23*F23*I23*L23)/N10)+2520+93),2)</f>
        <v>53863.42</v>
      </c>
      <c r="P23" s="920"/>
      <c r="Q23" s="931"/>
      <c r="R23" s="931"/>
      <c r="S23" s="920"/>
      <c r="T23" s="920"/>
      <c r="U23" s="920"/>
      <c r="V23" s="920"/>
      <c r="W23" s="920"/>
      <c r="X23" s="920"/>
      <c r="Y23" s="920"/>
      <c r="Z23" s="920"/>
      <c r="AA23" s="920"/>
      <c r="AB23" s="920"/>
      <c r="AC23" s="920"/>
      <c r="AD23" s="920"/>
      <c r="AE23" s="920"/>
      <c r="AF23" s="920"/>
      <c r="AG23" s="920"/>
      <c r="AH23" s="920"/>
      <c r="AI23" s="920"/>
      <c r="AJ23" s="920"/>
      <c r="AK23" s="920"/>
      <c r="AL23" s="920"/>
      <c r="AM23" s="920"/>
      <c r="AN23" s="920"/>
      <c r="AO23" s="920"/>
      <c r="AP23" s="920"/>
      <c r="AQ23" s="920"/>
      <c r="AR23" s="920"/>
      <c r="AS23" s="920"/>
      <c r="AT23" s="920"/>
      <c r="AU23" s="920"/>
      <c r="AV23" s="920"/>
      <c r="AW23" s="920"/>
      <c r="AX23" s="920"/>
    </row>
    <row r="24" spans="2:50" ht="34.15" customHeight="1">
      <c r="B24" s="936" t="s">
        <v>731</v>
      </c>
      <c r="C24" s="928">
        <v>1</v>
      </c>
      <c r="D24" s="933">
        <v>1.1299999999999999</v>
      </c>
      <c r="E24" s="933">
        <v>1.19</v>
      </c>
      <c r="F24" s="944">
        <v>1.75</v>
      </c>
      <c r="G24" s="944">
        <v>1.5</v>
      </c>
      <c r="H24" s="944">
        <v>1.39</v>
      </c>
      <c r="I24" s="944">
        <v>1.26</v>
      </c>
      <c r="J24" s="945">
        <v>1</v>
      </c>
      <c r="K24" s="945">
        <v>1.0609999999999999</v>
      </c>
      <c r="L24" s="945">
        <v>1</v>
      </c>
      <c r="M24" s="946">
        <f>ROUND((((C11/F11*G11*H11*I11*J11*K11*L11*M11*C24*F24*G24*J24)/N11)+2520+93),2)</f>
        <v>65258.22</v>
      </c>
      <c r="N24" s="947">
        <f>ROUND((((D11/F11*G11*H11*I11*J11*K11*L11*M11*D24*F24*H24*K24)/N11)+2520+93),2)</f>
        <v>81192.94</v>
      </c>
      <c r="O24" s="947">
        <f>ROUND((((E11/F11*G11*H11*I11*J11*K11*L11*M11*E24*F24*I24*L24)/N11)+2520+93),2)</f>
        <v>77353.2</v>
      </c>
      <c r="P24" s="920"/>
      <c r="Q24" s="931"/>
      <c r="R24" s="931"/>
      <c r="S24" s="920"/>
      <c r="T24" s="920"/>
      <c r="U24" s="920"/>
      <c r="V24" s="920"/>
      <c r="W24" s="920"/>
      <c r="X24" s="920"/>
      <c r="Y24" s="920"/>
      <c r="Z24" s="920"/>
      <c r="AA24" s="920"/>
      <c r="AB24" s="920"/>
      <c r="AC24" s="920"/>
      <c r="AD24" s="920"/>
      <c r="AE24" s="920"/>
      <c r="AF24" s="920"/>
      <c r="AG24" s="920"/>
      <c r="AH24" s="920"/>
      <c r="AI24" s="920"/>
      <c r="AJ24" s="920"/>
      <c r="AK24" s="920"/>
      <c r="AL24" s="920"/>
      <c r="AM24" s="920"/>
      <c r="AN24" s="920"/>
      <c r="AO24" s="920"/>
      <c r="AP24" s="920"/>
      <c r="AQ24" s="920"/>
      <c r="AR24" s="920"/>
      <c r="AS24" s="920"/>
      <c r="AT24" s="920"/>
      <c r="AU24" s="920"/>
      <c r="AV24" s="920"/>
      <c r="AW24" s="920"/>
      <c r="AX24" s="920"/>
    </row>
    <row r="25" spans="2:50" ht="27.6" customHeight="1">
      <c r="B25" s="936" t="s">
        <v>732</v>
      </c>
      <c r="C25" s="928">
        <v>1</v>
      </c>
      <c r="D25" s="933">
        <v>1.1299999999999999</v>
      </c>
      <c r="E25" s="933">
        <v>1.19</v>
      </c>
      <c r="F25" s="944">
        <v>1.75</v>
      </c>
      <c r="G25" s="944">
        <v>1.5</v>
      </c>
      <c r="H25" s="944">
        <v>1.39</v>
      </c>
      <c r="I25" s="944">
        <v>1.26</v>
      </c>
      <c r="J25" s="945">
        <v>1</v>
      </c>
      <c r="K25" s="945">
        <v>1.0609999999999999</v>
      </c>
      <c r="L25" s="945">
        <v>1</v>
      </c>
      <c r="M25" s="946">
        <f>ROUND((((C12/F12*G12*H12*I12*J12*K12*L12*M12*C25*F25*G25*J25)*1.2/N12)+2520+93),2)</f>
        <v>77787.27</v>
      </c>
      <c r="N25" s="947">
        <f>ROUND((((D12/F12*G12*H12*I12*J12*K12*L12*M12*D25*F25*H25*K25*1.2)/N12)+2520+93),2)</f>
        <v>96908.93</v>
      </c>
      <c r="O25" s="947">
        <f>ROUND((((E12/F12*G12*H12*I12*J12*K12*L12*M12*E25*F25*I25*L25*1.2)/N12)+2520+93),2)</f>
        <v>92301.24</v>
      </c>
      <c r="P25" s="920"/>
      <c r="Q25" s="931"/>
      <c r="R25" s="931"/>
      <c r="S25" s="920"/>
      <c r="T25" s="920"/>
      <c r="U25" s="920"/>
      <c r="V25" s="920"/>
      <c r="W25" s="920"/>
      <c r="X25" s="920"/>
      <c r="Y25" s="920"/>
      <c r="Z25" s="920"/>
      <c r="AA25" s="920"/>
      <c r="AB25" s="920"/>
      <c r="AC25" s="920"/>
      <c r="AD25" s="920"/>
      <c r="AE25" s="920"/>
      <c r="AF25" s="920"/>
      <c r="AG25" s="920"/>
      <c r="AH25" s="920"/>
      <c r="AI25" s="920"/>
      <c r="AJ25" s="920"/>
      <c r="AK25" s="920"/>
      <c r="AL25" s="920"/>
      <c r="AM25" s="920"/>
      <c r="AN25" s="920"/>
      <c r="AO25" s="920"/>
      <c r="AP25" s="920"/>
      <c r="AQ25" s="920"/>
      <c r="AR25" s="920"/>
      <c r="AS25" s="920"/>
      <c r="AT25" s="920"/>
      <c r="AU25" s="920"/>
      <c r="AV25" s="920"/>
      <c r="AW25" s="920"/>
      <c r="AX25" s="920"/>
    </row>
    <row r="26" spans="2:50" ht="25.9" customHeight="1">
      <c r="B26" s="936" t="s">
        <v>733</v>
      </c>
      <c r="C26" s="928">
        <v>1</v>
      </c>
      <c r="D26" s="933">
        <v>1.1299999999999999</v>
      </c>
      <c r="E26" s="933">
        <v>1.19</v>
      </c>
      <c r="F26" s="944">
        <v>1.75</v>
      </c>
      <c r="G26" s="944">
        <v>1.5</v>
      </c>
      <c r="H26" s="944">
        <v>1.39</v>
      </c>
      <c r="I26" s="944">
        <v>1.26</v>
      </c>
      <c r="J26" s="945">
        <v>1</v>
      </c>
      <c r="K26" s="945">
        <v>1.0609999999999999</v>
      </c>
      <c r="L26" s="945">
        <v>1</v>
      </c>
      <c r="M26" s="946">
        <f>ROUND((((C13/F13*G13*H13*I13*J13*K13*L13*M13*C26*F26*G26*J26)*1.35/N13)+2520+93),2)</f>
        <v>87184.05</v>
      </c>
      <c r="N26" s="947">
        <f>ROUND((((D13/F13*G13*H13*I13*J13*K13*L13*M13*D26*F26*H26*K26*1.35)/N13)+2520+93),2)</f>
        <v>108695.92</v>
      </c>
      <c r="O26" s="947">
        <f>ROUND((((E13/F13*G13*H13*I13*J13*K13*L13*M13*E26*F26*I26*L26*1.35)/N13)+2520+93),2)</f>
        <v>103512.27</v>
      </c>
      <c r="P26" s="920"/>
      <c r="Q26" s="931"/>
      <c r="R26" s="931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20"/>
      <c r="AG26" s="920"/>
      <c r="AH26" s="920"/>
      <c r="AI26" s="920"/>
      <c r="AJ26" s="920"/>
      <c r="AK26" s="920"/>
      <c r="AL26" s="920"/>
      <c r="AM26" s="920"/>
      <c r="AN26" s="920"/>
      <c r="AO26" s="920"/>
      <c r="AP26" s="920"/>
      <c r="AQ26" s="920"/>
      <c r="AR26" s="920"/>
      <c r="AS26" s="920"/>
      <c r="AT26" s="920"/>
      <c r="AU26" s="920"/>
      <c r="AV26" s="920"/>
      <c r="AW26" s="920"/>
      <c r="AX26" s="920"/>
    </row>
    <row r="27" spans="2:50" ht="27.6" customHeight="1">
      <c r="B27" s="936" t="s">
        <v>734</v>
      </c>
      <c r="C27" s="928">
        <v>1</v>
      </c>
      <c r="D27" s="933">
        <v>1.1299999999999999</v>
      </c>
      <c r="E27" s="933">
        <v>1.19</v>
      </c>
      <c r="F27" s="944">
        <v>1.75</v>
      </c>
      <c r="G27" s="944">
        <v>1.5</v>
      </c>
      <c r="H27" s="944">
        <v>1.39</v>
      </c>
      <c r="I27" s="944">
        <v>1.26</v>
      </c>
      <c r="J27" s="945">
        <v>1</v>
      </c>
      <c r="K27" s="945">
        <v>1.0609999999999999</v>
      </c>
      <c r="L27" s="945">
        <v>1</v>
      </c>
      <c r="M27" s="946">
        <f>ROUND((((C14/F14*G14*H14*I14*J14*K14*L14*M14*C27*F27*G27*J27)*1.15/N14)+2520+93),2)</f>
        <v>74655.009999999995</v>
      </c>
      <c r="N27" s="947">
        <f>ROUND((((D14/F14*G14*H14*I14*J14*K14*L14*M14*D27*F27*H27*K27*1.15)/N14)+2520+93),2)</f>
        <v>92979.93</v>
      </c>
      <c r="O27" s="947">
        <f>ROUND((((E14/F14*G14*H14*I14*J14*K14*L14*M14*E27*F27*I27*L27*1.15)/N14)+2520+93),2)</f>
        <v>88564.23</v>
      </c>
      <c r="P27" s="920"/>
      <c r="Q27" s="931"/>
      <c r="R27" s="931"/>
      <c r="S27" s="920"/>
      <c r="T27" s="920"/>
      <c r="U27" s="920"/>
      <c r="V27" s="920"/>
      <c r="W27" s="920"/>
      <c r="X27" s="920"/>
      <c r="Y27" s="920"/>
      <c r="Z27" s="920"/>
      <c r="AA27" s="920"/>
      <c r="AB27" s="920"/>
      <c r="AC27" s="920"/>
      <c r="AD27" s="920"/>
      <c r="AE27" s="920"/>
      <c r="AF27" s="920"/>
      <c r="AG27" s="920"/>
      <c r="AH27" s="920"/>
      <c r="AI27" s="920"/>
      <c r="AJ27" s="920"/>
      <c r="AK27" s="920"/>
      <c r="AL27" s="920"/>
      <c r="AM27" s="920"/>
      <c r="AN27" s="920"/>
      <c r="AO27" s="920"/>
      <c r="AP27" s="920"/>
      <c r="AQ27" s="920"/>
      <c r="AR27" s="920"/>
      <c r="AS27" s="920"/>
      <c r="AT27" s="920"/>
      <c r="AU27" s="920"/>
      <c r="AV27" s="920"/>
      <c r="AW27" s="920"/>
      <c r="AX27" s="920"/>
    </row>
    <row r="28" spans="2:50" ht="22.15" customHeight="1">
      <c r="B28" s="937" t="s">
        <v>735</v>
      </c>
      <c r="C28" s="928">
        <v>1</v>
      </c>
      <c r="D28" s="933">
        <v>1.1299999999999999</v>
      </c>
      <c r="E28" s="933">
        <v>1.19</v>
      </c>
      <c r="F28" s="944">
        <v>1</v>
      </c>
      <c r="G28" s="949">
        <v>1.5</v>
      </c>
      <c r="H28" s="949">
        <v>1.39</v>
      </c>
      <c r="I28" s="949">
        <v>1.26</v>
      </c>
      <c r="J28" s="950">
        <v>1</v>
      </c>
      <c r="K28" s="950">
        <v>1</v>
      </c>
      <c r="L28" s="944">
        <v>1</v>
      </c>
      <c r="M28" s="946">
        <f>ROUND((((C15/F15*G15*H15*I15*J15*K15*L15*M15*C28*F28*G28*J28)/N15)+2520+93),2)</f>
        <v>25708.01</v>
      </c>
      <c r="N28" s="947">
        <f>ROUND((((D15/F15*G15*H15*I15*J15*K15*L15*M15*D28*F28*H28*K28)/N15)+2520+93),2)</f>
        <v>27763.9</v>
      </c>
      <c r="O28" s="947">
        <f>ROUND((((E15/F15*G15*H15*I15*J15*K15*L15*M15*E28*F28*I28*L28)/N15)+2520+93),2)</f>
        <v>23851.91</v>
      </c>
      <c r="P28" s="920"/>
      <c r="Q28" s="948"/>
      <c r="R28" s="931"/>
      <c r="S28" s="920"/>
      <c r="T28" s="920"/>
      <c r="U28" s="920"/>
      <c r="V28" s="920"/>
      <c r="W28" s="920"/>
      <c r="X28" s="920"/>
      <c r="Y28" s="920"/>
      <c r="Z28" s="920"/>
      <c r="AA28" s="920"/>
      <c r="AB28" s="920"/>
      <c r="AC28" s="920"/>
      <c r="AD28" s="920"/>
      <c r="AE28" s="920"/>
      <c r="AF28" s="920"/>
      <c r="AG28" s="920"/>
      <c r="AH28" s="920"/>
      <c r="AI28" s="920"/>
      <c r="AJ28" s="920"/>
      <c r="AK28" s="920"/>
      <c r="AL28" s="920"/>
      <c r="AM28" s="920"/>
      <c r="AN28" s="920"/>
      <c r="AO28" s="920"/>
      <c r="AP28" s="920"/>
      <c r="AQ28" s="920"/>
      <c r="AR28" s="920"/>
      <c r="AS28" s="920"/>
      <c r="AT28" s="920"/>
      <c r="AU28" s="920"/>
      <c r="AV28" s="920"/>
      <c r="AW28" s="920"/>
      <c r="AX28" s="920"/>
    </row>
    <row r="29" spans="2:50" ht="22.9" customHeight="1">
      <c r="B29" s="938" t="s">
        <v>736</v>
      </c>
      <c r="C29" s="928">
        <v>1</v>
      </c>
      <c r="D29" s="933">
        <v>1.1299999999999999</v>
      </c>
      <c r="E29" s="933">
        <v>1.19</v>
      </c>
      <c r="F29" s="944">
        <v>1.55</v>
      </c>
      <c r="G29" s="949">
        <v>1.5</v>
      </c>
      <c r="H29" s="949">
        <v>1.39</v>
      </c>
      <c r="I29" s="949">
        <v>1.26</v>
      </c>
      <c r="J29" s="950">
        <v>1</v>
      </c>
      <c r="K29" s="950">
        <v>1</v>
      </c>
      <c r="L29" s="944">
        <v>1</v>
      </c>
      <c r="M29" s="946">
        <f>ROUND((((C16/F16*G16*H16*I16*J16*K16*L16*M16*C29*F29*G29*J29)/N16)+630+93),2)</f>
        <v>42444.76</v>
      </c>
      <c r="N29" s="947">
        <f>ROUND((((D16/F16*G16*H16*I16*J16*K16*L16*M16*D29*F29*H29*K29)/N16)+630+93),2)</f>
        <v>46158.78</v>
      </c>
      <c r="O29" s="946">
        <f>ROUND((((E16/F16*G16*H16*I16*J16*K16*L16*M16*E29*F29*I29*L29)/N16)+630+93),2)</f>
        <v>39091.67</v>
      </c>
      <c r="P29" s="920"/>
      <c r="Q29" s="931"/>
      <c r="R29" s="931"/>
      <c r="S29" s="920"/>
      <c r="T29" s="920"/>
      <c r="U29" s="920"/>
      <c r="V29" s="920"/>
      <c r="W29" s="920"/>
      <c r="X29" s="920"/>
      <c r="Y29" s="920"/>
      <c r="Z29" s="920"/>
      <c r="AA29" s="920"/>
      <c r="AB29" s="920"/>
      <c r="AC29" s="920"/>
      <c r="AD29" s="920"/>
      <c r="AE29" s="920"/>
      <c r="AF29" s="920"/>
      <c r="AG29" s="920"/>
      <c r="AH29" s="920"/>
      <c r="AI29" s="920"/>
      <c r="AJ29" s="920"/>
      <c r="AK29" s="920"/>
      <c r="AL29" s="920"/>
      <c r="AM29" s="920"/>
      <c r="AN29" s="920"/>
      <c r="AO29" s="920"/>
      <c r="AP29" s="920"/>
      <c r="AQ29" s="920"/>
      <c r="AR29" s="920"/>
      <c r="AS29" s="920"/>
      <c r="AT29" s="920"/>
      <c r="AU29" s="920"/>
      <c r="AV29" s="920"/>
      <c r="AW29" s="920"/>
      <c r="AX29" s="920"/>
    </row>
    <row r="30" spans="2:50" ht="19.5">
      <c r="B30" s="951" t="s">
        <v>742</v>
      </c>
      <c r="C30" s="933"/>
      <c r="D30" s="933"/>
      <c r="E30" s="933"/>
      <c r="F30" s="933">
        <v>1.8</v>
      </c>
      <c r="G30" s="933"/>
      <c r="H30" s="933"/>
      <c r="I30" s="933"/>
      <c r="J30" s="933"/>
      <c r="K30" s="933"/>
      <c r="L30" s="933"/>
      <c r="M30" s="952">
        <f>ROUND(((M20-2520-93)*F30+2520+93),2)</f>
        <v>54161.08</v>
      </c>
      <c r="N30" s="952">
        <f>ROUND(((N20-2520-93)*F30+2520+93),2)</f>
        <v>67273.070000000007</v>
      </c>
      <c r="O30" s="952">
        <f>ROUND((((O20-2520-93)*F30)+2520+93),2)</f>
        <v>64113.51</v>
      </c>
      <c r="P30" s="920"/>
      <c r="Q30" s="920"/>
      <c r="R30" s="920"/>
      <c r="S30" s="920"/>
      <c r="T30" s="920"/>
      <c r="U30" s="920"/>
      <c r="V30" s="920"/>
      <c r="W30" s="920"/>
      <c r="X30" s="920"/>
      <c r="Y30" s="920"/>
      <c r="Z30" s="920"/>
      <c r="AA30" s="920"/>
      <c r="AB30" s="920"/>
      <c r="AC30" s="920"/>
      <c r="AD30" s="920"/>
      <c r="AE30" s="920"/>
      <c r="AF30" s="920"/>
      <c r="AG30" s="920"/>
      <c r="AH30" s="920"/>
      <c r="AI30" s="920"/>
      <c r="AJ30" s="920"/>
      <c r="AK30" s="920"/>
      <c r="AL30" s="920"/>
      <c r="AM30" s="920"/>
      <c r="AN30" s="920"/>
      <c r="AO30" s="920"/>
      <c r="AP30" s="920"/>
      <c r="AQ30" s="920"/>
      <c r="AR30" s="920"/>
      <c r="AS30" s="920"/>
      <c r="AT30" s="920"/>
      <c r="AU30" s="920"/>
      <c r="AV30" s="920"/>
      <c r="AW30" s="920"/>
      <c r="AX30" s="920"/>
    </row>
    <row r="31" spans="2:50" ht="19.5">
      <c r="B31" s="951" t="s">
        <v>743</v>
      </c>
      <c r="C31" s="933"/>
      <c r="D31" s="933"/>
      <c r="E31" s="933"/>
      <c r="F31" s="933">
        <v>1</v>
      </c>
      <c r="G31" s="933"/>
      <c r="H31" s="933"/>
      <c r="I31" s="933"/>
      <c r="J31" s="933"/>
      <c r="K31" s="933"/>
      <c r="L31" s="933"/>
      <c r="M31" s="953">
        <f>ROUND((M20-2520-93+630+93),2)</f>
        <v>29360.82</v>
      </c>
      <c r="N31" s="953">
        <f>ROUND((N20-2520-93+630+93),2)</f>
        <v>36645.26</v>
      </c>
      <c r="O31" s="953">
        <f>ROUND((O20-2520-93+630+93),2)</f>
        <v>34889.949999999997</v>
      </c>
      <c r="P31" s="920"/>
      <c r="Q31" s="920"/>
      <c r="R31" s="920"/>
      <c r="S31" s="920"/>
      <c r="T31" s="920"/>
      <c r="U31" s="920"/>
      <c r="V31" s="920"/>
      <c r="W31" s="920"/>
      <c r="X31" s="920"/>
      <c r="Y31" s="920"/>
      <c r="Z31" s="920"/>
      <c r="AA31" s="920"/>
      <c r="AB31" s="920"/>
      <c r="AC31" s="920"/>
      <c r="AD31" s="920"/>
      <c r="AE31" s="920"/>
      <c r="AF31" s="920"/>
      <c r="AG31" s="920"/>
      <c r="AH31" s="920"/>
      <c r="AI31" s="920"/>
      <c r="AJ31" s="920"/>
      <c r="AK31" s="920"/>
      <c r="AL31" s="920"/>
      <c r="AM31" s="920"/>
      <c r="AN31" s="920"/>
      <c r="AO31" s="920"/>
      <c r="AP31" s="920"/>
      <c r="AQ31" s="920"/>
      <c r="AR31" s="920"/>
      <c r="AS31" s="920"/>
      <c r="AT31" s="920"/>
      <c r="AU31" s="920"/>
      <c r="AV31" s="920"/>
      <c r="AW31" s="920"/>
      <c r="AX31" s="920"/>
    </row>
    <row r="32" spans="2:50" ht="19.5">
      <c r="B32" s="954" t="s">
        <v>744</v>
      </c>
      <c r="C32" s="933"/>
      <c r="D32" s="933"/>
      <c r="E32" s="933"/>
      <c r="F32" s="933">
        <v>1.2</v>
      </c>
      <c r="G32" s="933"/>
      <c r="H32" s="933"/>
      <c r="I32" s="933"/>
      <c r="J32" s="933"/>
      <c r="K32" s="933"/>
      <c r="L32" s="933"/>
      <c r="M32" s="953">
        <f>ROUND((M20-2520-93)*F32+1260+93,2)</f>
        <v>35718.379999999997</v>
      </c>
      <c r="N32" s="946"/>
      <c r="O32" s="946"/>
      <c r="P32" s="920"/>
      <c r="Q32" s="920"/>
      <c r="R32" s="920"/>
      <c r="S32" s="920"/>
      <c r="T32" s="920"/>
      <c r="U32" s="920"/>
      <c r="V32" s="920"/>
      <c r="W32" s="920"/>
      <c r="X32" s="920"/>
      <c r="Y32" s="920"/>
      <c r="Z32" s="920"/>
      <c r="AA32" s="920"/>
      <c r="AB32" s="920"/>
      <c r="AC32" s="920"/>
      <c r="AD32" s="920"/>
      <c r="AE32" s="920"/>
      <c r="AF32" s="920"/>
      <c r="AG32" s="920"/>
      <c r="AH32" s="920"/>
      <c r="AI32" s="920"/>
      <c r="AJ32" s="920"/>
      <c r="AK32" s="920"/>
      <c r="AL32" s="920"/>
      <c r="AM32" s="920"/>
      <c r="AN32" s="920"/>
      <c r="AO32" s="920"/>
      <c r="AP32" s="920"/>
      <c r="AQ32" s="920"/>
      <c r="AR32" s="920"/>
      <c r="AS32" s="920"/>
      <c r="AT32" s="920"/>
      <c r="AU32" s="920"/>
      <c r="AV32" s="920"/>
      <c r="AW32" s="920"/>
      <c r="AX32" s="920"/>
    </row>
    <row r="33" spans="2:50" ht="19.5">
      <c r="B33" s="954" t="s">
        <v>745</v>
      </c>
      <c r="C33" s="933"/>
      <c r="D33" s="933"/>
      <c r="E33" s="933"/>
      <c r="F33" s="933"/>
      <c r="G33" s="933"/>
      <c r="H33" s="933"/>
      <c r="I33" s="933"/>
      <c r="J33" s="933"/>
      <c r="K33" s="933"/>
      <c r="L33" s="933"/>
      <c r="M33" s="955">
        <f>(M32-2520-93)*1.75+2520+93</f>
        <v>60547.414999999994</v>
      </c>
      <c r="N33" s="933"/>
      <c r="O33" s="933"/>
      <c r="P33" s="920"/>
      <c r="Q33" s="920"/>
      <c r="R33" s="920"/>
      <c r="S33" s="920"/>
      <c r="T33" s="920"/>
      <c r="U33" s="920"/>
      <c r="V33" s="920"/>
      <c r="W33" s="920"/>
      <c r="X33" s="920"/>
      <c r="Y33" s="920"/>
      <c r="Z33" s="920"/>
      <c r="AA33" s="920"/>
      <c r="AB33" s="920"/>
      <c r="AC33" s="920"/>
      <c r="AD33" s="920"/>
      <c r="AE33" s="920"/>
      <c r="AF33" s="920"/>
      <c r="AG33" s="920"/>
      <c r="AH33" s="920"/>
      <c r="AI33" s="920"/>
      <c r="AJ33" s="920"/>
      <c r="AK33" s="920"/>
      <c r="AL33" s="920"/>
      <c r="AM33" s="920"/>
      <c r="AN33" s="920"/>
      <c r="AO33" s="920"/>
      <c r="AP33" s="920"/>
      <c r="AQ33" s="920"/>
      <c r="AR33" s="920"/>
      <c r="AS33" s="920"/>
      <c r="AT33" s="920"/>
      <c r="AU33" s="920"/>
      <c r="AV33" s="920"/>
      <c r="AW33" s="920"/>
      <c r="AX33" s="920"/>
    </row>
    <row r="34" spans="2:50">
      <c r="I34" s="932"/>
      <c r="J34" s="932"/>
      <c r="K34" s="932"/>
      <c r="L34" s="932"/>
      <c r="M34" s="932"/>
      <c r="N34" s="932"/>
      <c r="O34" s="932"/>
    </row>
    <row r="35" spans="2:50" ht="18">
      <c r="C35" s="956" t="s">
        <v>746</v>
      </c>
      <c r="D35" s="956"/>
      <c r="E35" s="956"/>
      <c r="F35" s="956"/>
      <c r="G35" s="956"/>
      <c r="H35" s="956"/>
      <c r="I35" s="957"/>
      <c r="J35" s="957" t="s">
        <v>747</v>
      </c>
      <c r="K35" s="957"/>
      <c r="L35" s="932"/>
      <c r="M35" s="958" t="s">
        <v>748</v>
      </c>
      <c r="N35" s="958" t="s">
        <v>749</v>
      </c>
      <c r="O35" s="932"/>
    </row>
    <row r="36" spans="2:50">
      <c r="I36" s="932"/>
      <c r="J36" s="932"/>
      <c r="K36" s="932"/>
      <c r="L36" s="932"/>
      <c r="M36" s="932"/>
      <c r="N36" s="932"/>
      <c r="O36" s="932"/>
    </row>
    <row r="37" spans="2:50">
      <c r="I37" s="932"/>
      <c r="J37" s="932"/>
      <c r="K37" s="932"/>
      <c r="L37" s="932"/>
      <c r="M37" s="932"/>
      <c r="N37" s="932"/>
      <c r="O37" s="932"/>
    </row>
    <row r="38" spans="2:50">
      <c r="I38" s="932"/>
      <c r="J38" s="932"/>
      <c r="K38" s="932"/>
      <c r="L38" s="932"/>
      <c r="M38" s="932"/>
      <c r="N38" s="932"/>
      <c r="O38" s="932"/>
    </row>
    <row r="39" spans="2:50">
      <c r="I39" s="932"/>
      <c r="J39" s="932"/>
      <c r="K39" s="932"/>
      <c r="L39" s="932"/>
      <c r="M39" s="932"/>
      <c r="N39" s="932"/>
      <c r="O39" s="932"/>
    </row>
    <row r="40" spans="2:50">
      <c r="I40" s="932"/>
      <c r="J40" s="932"/>
      <c r="K40" s="932"/>
      <c r="L40" s="932"/>
      <c r="M40" s="932"/>
      <c r="N40" s="932"/>
      <c r="O40" s="932"/>
    </row>
    <row r="41" spans="2:50">
      <c r="I41" s="932"/>
      <c r="J41" s="932"/>
      <c r="K41" s="932"/>
      <c r="L41" s="932"/>
      <c r="M41" s="932"/>
      <c r="N41" s="932"/>
      <c r="O41" s="932"/>
    </row>
  </sheetData>
  <mergeCells count="8">
    <mergeCell ref="B2:O3"/>
    <mergeCell ref="C5:E5"/>
    <mergeCell ref="J5:L5"/>
    <mergeCell ref="C18:E18"/>
    <mergeCell ref="F18:F19"/>
    <mergeCell ref="G18:I18"/>
    <mergeCell ref="J18:L18"/>
    <mergeCell ref="M18:O18"/>
  </mergeCells>
  <pageMargins left="0" right="0" top="0" bottom="0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4"/>
  <sheetViews>
    <sheetView zoomScale="76" zoomScaleNormal="76" workbookViewId="0">
      <pane xSplit="7" ySplit="6" topLeftCell="AY22" activePane="bottomRight" state="frozen"/>
      <selection pane="topRight" activeCell="H1" sqref="H1"/>
      <selection pane="bottomLeft" activeCell="A7" sqref="A7"/>
      <selection pane="bottomRight" activeCell="CG53" sqref="CG53"/>
    </sheetView>
  </sheetViews>
  <sheetFormatPr defaultColWidth="8.85546875" defaultRowHeight="12.75"/>
  <cols>
    <col min="1" max="1" width="4.5703125" style="456" customWidth="1"/>
    <col min="2" max="2" width="21.28515625" style="456" customWidth="1"/>
    <col min="3" max="7" width="8.85546875" style="456" hidden="1" customWidth="1"/>
    <col min="8" max="8" width="10.7109375" style="456" hidden="1" customWidth="1"/>
    <col min="9" max="9" width="10.42578125" style="456" hidden="1" customWidth="1"/>
    <col min="10" max="10" width="10.5703125" style="456" hidden="1" customWidth="1"/>
    <col min="11" max="11" width="12.42578125" style="456" hidden="1" customWidth="1"/>
    <col min="12" max="12" width="11.42578125" style="456" hidden="1" customWidth="1"/>
    <col min="13" max="13" width="8.85546875" style="456" hidden="1" customWidth="1"/>
    <col min="14" max="14" width="18" style="456" hidden="1" customWidth="1"/>
    <col min="15" max="15" width="14.5703125" style="456" hidden="1" customWidth="1"/>
    <col min="16" max="16" width="8.85546875" style="456" hidden="1" customWidth="1"/>
    <col min="17" max="17" width="12.5703125" style="456" hidden="1" customWidth="1"/>
    <col min="18" max="18" width="8.85546875" style="456" hidden="1" customWidth="1"/>
    <col min="19" max="19" width="12" style="456" hidden="1" customWidth="1"/>
    <col min="20" max="20" width="8.85546875" style="456" hidden="1" customWidth="1"/>
    <col min="21" max="21" width="17" style="456" hidden="1" customWidth="1"/>
    <col min="22" max="22" width="14.85546875" style="456" hidden="1" customWidth="1"/>
    <col min="23" max="23" width="8.85546875" style="456" hidden="1" customWidth="1"/>
    <col min="24" max="24" width="12.5703125" style="456" hidden="1" customWidth="1"/>
    <col min="25" max="25" width="8.85546875" style="456" hidden="1" customWidth="1"/>
    <col min="26" max="26" width="14.42578125" style="456" hidden="1" customWidth="1"/>
    <col min="27" max="27" width="8.85546875" style="456" hidden="1" customWidth="1"/>
    <col min="28" max="28" width="16.5703125" style="456" hidden="1" customWidth="1"/>
    <col min="29" max="29" width="14" style="456" hidden="1" customWidth="1"/>
    <col min="30" max="30" width="8.85546875" style="456" hidden="1" customWidth="1"/>
    <col min="31" max="31" width="13.5703125" style="456" hidden="1" customWidth="1"/>
    <col min="32" max="32" width="8.85546875" style="456" hidden="1" customWidth="1"/>
    <col min="33" max="33" width="14.85546875" style="456" hidden="1" customWidth="1"/>
    <col min="34" max="34" width="14.42578125" style="456" hidden="1" customWidth="1"/>
    <col min="35" max="35" width="8.85546875" style="456" hidden="1" customWidth="1"/>
    <col min="36" max="36" width="12.28515625" style="456" hidden="1" customWidth="1"/>
    <col min="37" max="37" width="8.85546875" style="456" hidden="1" customWidth="1"/>
    <col min="38" max="38" width="13.5703125" style="456" hidden="1" customWidth="1"/>
    <col min="39" max="39" width="8.85546875" style="456" hidden="1" customWidth="1"/>
    <col min="40" max="40" width="14.5703125" style="456" hidden="1" customWidth="1"/>
    <col min="41" max="41" width="15.7109375" style="456" hidden="1" customWidth="1"/>
    <col min="42" max="42" width="8.85546875" style="456" hidden="1" customWidth="1"/>
    <col min="43" max="43" width="14" style="456" hidden="1" customWidth="1"/>
    <col min="44" max="44" width="8.85546875" style="456" hidden="1" customWidth="1"/>
    <col min="45" max="45" width="15.85546875" style="456" hidden="1" customWidth="1"/>
    <col min="46" max="46" width="8.85546875" style="456" hidden="1" customWidth="1"/>
    <col min="47" max="47" width="14.7109375" style="456" hidden="1" customWidth="1"/>
    <col min="48" max="48" width="12.85546875" style="456" hidden="1" customWidth="1"/>
    <col min="49" max="49" width="8.85546875" style="456" hidden="1" customWidth="1"/>
    <col min="50" max="50" width="14.42578125" style="456" hidden="1" customWidth="1"/>
    <col min="51" max="51" width="21" style="456" customWidth="1"/>
    <col min="52" max="52" width="17.5703125" style="456" customWidth="1"/>
    <col min="53" max="53" width="17.140625" style="456" hidden="1" customWidth="1"/>
    <col min="54" max="54" width="0" style="456" hidden="1" customWidth="1"/>
    <col min="55" max="55" width="17.28515625" style="456" hidden="1" customWidth="1"/>
    <col min="56" max="56" width="0" style="456" hidden="1" customWidth="1"/>
    <col min="57" max="57" width="15.28515625" style="456" hidden="1" customWidth="1"/>
    <col min="58" max="58" width="0" style="456" hidden="1" customWidth="1"/>
    <col min="59" max="59" width="16.28515625" style="456" hidden="1" customWidth="1"/>
    <col min="60" max="60" width="15.85546875" style="456" hidden="1" customWidth="1"/>
    <col min="61" max="61" width="0" style="456" hidden="1" customWidth="1"/>
    <col min="62" max="62" width="14" style="456" hidden="1" customWidth="1"/>
    <col min="63" max="63" width="0" style="456" hidden="1" customWidth="1"/>
    <col min="64" max="64" width="14.42578125" style="456" hidden="1" customWidth="1"/>
    <col min="65" max="65" width="14.28515625" style="456" hidden="1" customWidth="1"/>
    <col min="66" max="66" width="15.85546875" style="456" hidden="1" customWidth="1"/>
    <col min="67" max="67" width="0" style="456" hidden="1" customWidth="1"/>
    <col min="68" max="68" width="15.28515625" style="456" hidden="1" customWidth="1"/>
    <col min="69" max="69" width="0" style="456" hidden="1" customWidth="1"/>
    <col min="70" max="70" width="15.85546875" style="456" hidden="1" customWidth="1"/>
    <col min="71" max="71" width="0" style="456" hidden="1" customWidth="1"/>
    <col min="72" max="72" width="14.42578125" style="456" hidden="1" customWidth="1"/>
    <col min="73" max="73" width="14.5703125" style="456" hidden="1" customWidth="1"/>
    <col min="74" max="74" width="0" style="456" hidden="1" customWidth="1"/>
    <col min="75" max="75" width="13.42578125" style="456" hidden="1" customWidth="1"/>
    <col min="76" max="76" width="0" style="456" hidden="1" customWidth="1"/>
    <col min="77" max="77" width="13.140625" style="456" hidden="1" customWidth="1"/>
    <col min="78" max="78" width="0" style="456" hidden="1" customWidth="1"/>
    <col min="79" max="79" width="14.42578125" style="456" hidden="1" customWidth="1"/>
    <col min="80" max="80" width="19.85546875" style="456" customWidth="1"/>
    <col min="81" max="81" width="18.28515625" style="456" customWidth="1"/>
    <col min="82" max="82" width="19.7109375" style="456" customWidth="1"/>
    <col min="83" max="83" width="20.5703125" style="456" customWidth="1"/>
    <col min="84" max="84" width="22.85546875" style="456" customWidth="1"/>
    <col min="85" max="85" width="21.85546875" style="456" customWidth="1"/>
    <col min="86" max="86" width="8.85546875" style="1005" customWidth="1"/>
    <col min="87" max="87" width="12.28515625" style="1005" hidden="1" customWidth="1"/>
    <col min="88" max="88" width="13.140625" style="1005" hidden="1" customWidth="1"/>
    <col min="89" max="89" width="14.7109375" style="1005" hidden="1" customWidth="1"/>
    <col min="90" max="90" width="18.28515625" style="1005" hidden="1" customWidth="1"/>
    <col min="91" max="91" width="19" style="456" hidden="1" customWidth="1"/>
    <col min="92" max="92" width="8.85546875" style="456" hidden="1" customWidth="1"/>
    <col min="93" max="93" width="25" style="456" hidden="1" customWidth="1"/>
    <col min="94" max="95" width="8.85546875" style="456" hidden="1" customWidth="1"/>
    <col min="96" max="96" width="8.85546875" style="456" customWidth="1"/>
    <col min="97" max="16384" width="8.85546875" style="456"/>
  </cols>
  <sheetData>
    <row r="1" spans="1:118" s="960" customFormat="1" ht="76.150000000000006" customHeight="1" thickBot="1">
      <c r="A1" s="1569" t="s">
        <v>750</v>
      </c>
      <c r="B1" s="1569"/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  <c r="N1" s="1569"/>
      <c r="O1" s="1569"/>
      <c r="P1" s="1569"/>
      <c r="Q1" s="1569"/>
      <c r="R1" s="1569"/>
      <c r="S1" s="1569"/>
      <c r="T1" s="1569"/>
      <c r="U1" s="1569"/>
      <c r="V1" s="959"/>
      <c r="W1" s="959"/>
      <c r="X1" s="959"/>
      <c r="Y1" s="959"/>
      <c r="Z1" s="959"/>
      <c r="AA1" s="959"/>
      <c r="AB1" s="959"/>
      <c r="AZ1" s="1498"/>
      <c r="BA1" s="1498"/>
      <c r="BB1" s="1498"/>
      <c r="BC1" s="1498"/>
      <c r="BD1" s="1498"/>
      <c r="BE1" s="1498"/>
      <c r="BF1" s="1498"/>
      <c r="BG1" s="1498"/>
      <c r="BH1" s="1498"/>
      <c r="BI1" s="1498"/>
      <c r="BJ1" s="1498"/>
      <c r="BK1" s="1498"/>
      <c r="BL1" s="1498"/>
      <c r="BM1" s="1498"/>
      <c r="BN1" s="1498"/>
      <c r="BO1" s="1498"/>
      <c r="BP1" s="1498"/>
      <c r="BQ1" s="1498"/>
      <c r="BR1" s="1498"/>
      <c r="BS1" s="1498"/>
      <c r="BT1" s="1498"/>
      <c r="CB1" s="961"/>
      <c r="CF1" s="962"/>
      <c r="CG1" s="962"/>
      <c r="CH1" s="963"/>
      <c r="CI1" s="963"/>
      <c r="CJ1" s="963"/>
      <c r="CK1" s="963"/>
      <c r="CL1" s="963"/>
      <c r="CM1" s="962"/>
      <c r="CN1" s="962"/>
      <c r="CO1" s="962"/>
      <c r="CP1" s="962"/>
      <c r="CQ1" s="962"/>
      <c r="CR1" s="962"/>
      <c r="CS1" s="962"/>
      <c r="CT1" s="962"/>
      <c r="CU1" s="962"/>
      <c r="CV1" s="962"/>
      <c r="CW1" s="962"/>
      <c r="CX1" s="962"/>
      <c r="CY1" s="962"/>
      <c r="CZ1" s="962"/>
      <c r="DA1" s="962"/>
      <c r="DB1" s="962"/>
      <c r="DC1" s="962"/>
      <c r="DD1" s="962"/>
      <c r="DE1" s="962"/>
      <c r="DF1" s="962"/>
      <c r="DG1" s="962"/>
      <c r="DH1" s="962"/>
      <c r="DI1" s="962"/>
      <c r="DJ1" s="962"/>
      <c r="DK1" s="962"/>
      <c r="DL1" s="962"/>
      <c r="DM1" s="962"/>
      <c r="DN1" s="962"/>
    </row>
    <row r="2" spans="1:118" s="966" customFormat="1" ht="18.75">
      <c r="A2" s="1499" t="s">
        <v>319</v>
      </c>
      <c r="B2" s="1502" t="s">
        <v>751</v>
      </c>
      <c r="C2" s="964"/>
      <c r="D2" s="1505" t="s">
        <v>752</v>
      </c>
      <c r="E2" s="1505" t="s">
        <v>753</v>
      </c>
      <c r="F2" s="1507" t="s">
        <v>754</v>
      </c>
      <c r="G2" s="1505" t="s">
        <v>755</v>
      </c>
      <c r="H2" s="1509" t="s">
        <v>322</v>
      </c>
      <c r="I2" s="1509"/>
      <c r="J2" s="1509"/>
      <c r="K2" s="1509"/>
      <c r="L2" s="1509"/>
      <c r="M2" s="1509"/>
      <c r="N2" s="1509"/>
      <c r="O2" s="1509"/>
      <c r="P2" s="1509"/>
      <c r="Q2" s="1509"/>
      <c r="R2" s="1509"/>
      <c r="S2" s="1509"/>
      <c r="T2" s="1509"/>
      <c r="U2" s="1509"/>
      <c r="V2" s="1509"/>
      <c r="W2" s="1509"/>
      <c r="X2" s="1509"/>
      <c r="Y2" s="1509"/>
      <c r="Z2" s="1509"/>
      <c r="AA2" s="1509"/>
      <c r="AB2" s="1509"/>
      <c r="AC2" s="1509"/>
      <c r="AD2" s="1509"/>
      <c r="AE2" s="1509"/>
      <c r="AF2" s="1509"/>
      <c r="AG2" s="1509"/>
      <c r="AH2" s="1509"/>
      <c r="AI2" s="1509"/>
      <c r="AJ2" s="1509"/>
      <c r="AK2" s="1509"/>
      <c r="AL2" s="1509"/>
      <c r="AM2" s="1509"/>
      <c r="AN2" s="1509"/>
      <c r="AO2" s="1509"/>
      <c r="AP2" s="1509"/>
      <c r="AQ2" s="1509"/>
      <c r="AR2" s="1509"/>
      <c r="AS2" s="1509"/>
      <c r="AT2" s="1509"/>
      <c r="AU2" s="1509"/>
      <c r="AV2" s="1509"/>
      <c r="AW2" s="1509"/>
      <c r="AX2" s="1510"/>
      <c r="AY2" s="1511" t="s">
        <v>756</v>
      </c>
      <c r="AZ2" s="1521" t="s">
        <v>757</v>
      </c>
      <c r="BA2" s="1523" t="s">
        <v>325</v>
      </c>
      <c r="BB2" s="1524"/>
      <c r="BC2" s="1524"/>
      <c r="BD2" s="1524"/>
      <c r="BE2" s="1524"/>
      <c r="BF2" s="1524"/>
      <c r="BG2" s="1524"/>
      <c r="BH2" s="1524"/>
      <c r="BI2" s="1524"/>
      <c r="BJ2" s="1524"/>
      <c r="BK2" s="1524"/>
      <c r="BL2" s="1524"/>
      <c r="BM2" s="1525"/>
      <c r="BN2" s="1526" t="s">
        <v>326</v>
      </c>
      <c r="BO2" s="1527"/>
      <c r="BP2" s="1527"/>
      <c r="BQ2" s="1527"/>
      <c r="BR2" s="1527"/>
      <c r="BS2" s="1527"/>
      <c r="BT2" s="1528"/>
      <c r="BU2" s="1532" t="s">
        <v>327</v>
      </c>
      <c r="BV2" s="1533"/>
      <c r="BW2" s="1533"/>
      <c r="BX2" s="1533"/>
      <c r="BY2" s="1533"/>
      <c r="BZ2" s="1533"/>
      <c r="CA2" s="1534"/>
      <c r="CB2" s="1538" t="s">
        <v>402</v>
      </c>
      <c r="CC2" s="1540" t="s">
        <v>758</v>
      </c>
      <c r="CD2" s="1553" t="s">
        <v>759</v>
      </c>
      <c r="CE2" s="1555" t="s">
        <v>760</v>
      </c>
      <c r="CF2" s="1558" t="s">
        <v>761</v>
      </c>
      <c r="CG2" s="1561" t="s">
        <v>83</v>
      </c>
      <c r="CH2" s="965"/>
      <c r="CI2" s="1518" t="s">
        <v>762</v>
      </c>
      <c r="CJ2" s="1518" t="s">
        <v>763</v>
      </c>
      <c r="CK2" s="1518" t="s">
        <v>764</v>
      </c>
      <c r="CL2" s="1518" t="s">
        <v>765</v>
      </c>
    </row>
    <row r="3" spans="1:118" s="970" customFormat="1" ht="18.75">
      <c r="A3" s="1500"/>
      <c r="B3" s="1503"/>
      <c r="C3" s="967"/>
      <c r="D3" s="1506"/>
      <c r="E3" s="1506"/>
      <c r="F3" s="1508"/>
      <c r="G3" s="1506"/>
      <c r="H3" s="1548" t="s">
        <v>329</v>
      </c>
      <c r="I3" s="1549"/>
      <c r="J3" s="1549"/>
      <c r="K3" s="1549"/>
      <c r="L3" s="1549"/>
      <c r="M3" s="1549"/>
      <c r="N3" s="1550"/>
      <c r="O3" s="1551" t="s">
        <v>330</v>
      </c>
      <c r="P3" s="1549"/>
      <c r="Q3" s="1549"/>
      <c r="R3" s="1549"/>
      <c r="S3" s="1549"/>
      <c r="T3" s="1549"/>
      <c r="U3" s="1550"/>
      <c r="V3" s="1551" t="s">
        <v>331</v>
      </c>
      <c r="W3" s="1549"/>
      <c r="X3" s="1549"/>
      <c r="Y3" s="1549"/>
      <c r="Z3" s="1549"/>
      <c r="AA3" s="1549"/>
      <c r="AB3" s="1550"/>
      <c r="AC3" s="1551" t="s">
        <v>332</v>
      </c>
      <c r="AD3" s="1549"/>
      <c r="AE3" s="1549"/>
      <c r="AF3" s="1549"/>
      <c r="AG3" s="1550"/>
      <c r="AH3" s="1551" t="s">
        <v>333</v>
      </c>
      <c r="AI3" s="1549"/>
      <c r="AJ3" s="1549"/>
      <c r="AK3" s="1549"/>
      <c r="AL3" s="1549"/>
      <c r="AM3" s="1549"/>
      <c r="AN3" s="1550"/>
      <c r="AO3" s="1542" t="s">
        <v>334</v>
      </c>
      <c r="AP3" s="1543"/>
      <c r="AQ3" s="1543"/>
      <c r="AR3" s="1543"/>
      <c r="AS3" s="1543"/>
      <c r="AT3" s="1543"/>
      <c r="AU3" s="1552"/>
      <c r="AV3" s="1542" t="s">
        <v>335</v>
      </c>
      <c r="AW3" s="1543"/>
      <c r="AX3" s="1552"/>
      <c r="AY3" s="1512"/>
      <c r="AZ3" s="1522"/>
      <c r="BA3" s="1542" t="s">
        <v>336</v>
      </c>
      <c r="BB3" s="1543"/>
      <c r="BC3" s="1543"/>
      <c r="BD3" s="1543"/>
      <c r="BE3" s="1543"/>
      <c r="BF3" s="1543"/>
      <c r="BG3" s="1552"/>
      <c r="BH3" s="1542" t="s">
        <v>337</v>
      </c>
      <c r="BI3" s="1543"/>
      <c r="BJ3" s="1543"/>
      <c r="BK3" s="1543"/>
      <c r="BL3" s="1543"/>
      <c r="BM3" s="1544" t="s">
        <v>766</v>
      </c>
      <c r="BN3" s="1529"/>
      <c r="BO3" s="1530"/>
      <c r="BP3" s="1530"/>
      <c r="BQ3" s="1530"/>
      <c r="BR3" s="1530"/>
      <c r="BS3" s="1530"/>
      <c r="BT3" s="1531"/>
      <c r="BU3" s="1535"/>
      <c r="BV3" s="1536"/>
      <c r="BW3" s="1536"/>
      <c r="BX3" s="1536"/>
      <c r="BY3" s="1536"/>
      <c r="BZ3" s="1536"/>
      <c r="CA3" s="1537"/>
      <c r="CB3" s="1539"/>
      <c r="CC3" s="1541"/>
      <c r="CD3" s="1554"/>
      <c r="CE3" s="1556"/>
      <c r="CF3" s="1559"/>
      <c r="CG3" s="1561"/>
      <c r="CH3" s="968"/>
      <c r="CI3" s="1519"/>
      <c r="CJ3" s="1519"/>
      <c r="CK3" s="1519"/>
      <c r="CL3" s="1519"/>
      <c r="CM3" s="969"/>
      <c r="CN3" s="969"/>
      <c r="CO3" s="969"/>
      <c r="CP3" s="969"/>
      <c r="CQ3" s="969"/>
      <c r="CR3" s="969"/>
      <c r="CS3" s="969"/>
      <c r="CT3" s="969"/>
      <c r="CU3" s="969"/>
      <c r="CV3" s="969"/>
      <c r="CW3" s="969"/>
      <c r="CX3" s="969"/>
      <c r="CY3" s="969"/>
      <c r="CZ3" s="969"/>
      <c r="DA3" s="969"/>
      <c r="DB3" s="969"/>
      <c r="DC3" s="969"/>
      <c r="DD3" s="969"/>
      <c r="DE3" s="969"/>
      <c r="DF3" s="969"/>
      <c r="DG3" s="969"/>
      <c r="DH3" s="969"/>
      <c r="DI3" s="969"/>
      <c r="DJ3" s="969"/>
      <c r="DK3" s="969"/>
      <c r="DL3" s="969"/>
      <c r="DM3" s="969"/>
      <c r="DN3" s="969"/>
    </row>
    <row r="4" spans="1:118" s="973" customFormat="1" ht="18.75">
      <c r="A4" s="1500"/>
      <c r="B4" s="1503"/>
      <c r="C4" s="967" t="s">
        <v>471</v>
      </c>
      <c r="D4" s="1506"/>
      <c r="E4" s="1506"/>
      <c r="F4" s="1508"/>
      <c r="G4" s="1506"/>
      <c r="H4" s="1562" t="s">
        <v>339</v>
      </c>
      <c r="I4" s="1515"/>
      <c r="J4" s="1514" t="s">
        <v>340</v>
      </c>
      <c r="K4" s="1515"/>
      <c r="L4" s="1514" t="s">
        <v>341</v>
      </c>
      <c r="M4" s="1515"/>
      <c r="N4" s="1516" t="s">
        <v>342</v>
      </c>
      <c r="O4" s="1514" t="s">
        <v>339</v>
      </c>
      <c r="P4" s="1515"/>
      <c r="Q4" s="1514" t="s">
        <v>340</v>
      </c>
      <c r="R4" s="1515"/>
      <c r="S4" s="1514" t="s">
        <v>341</v>
      </c>
      <c r="T4" s="1515"/>
      <c r="U4" s="1563" t="s">
        <v>343</v>
      </c>
      <c r="V4" s="1514" t="s">
        <v>339</v>
      </c>
      <c r="W4" s="1515"/>
      <c r="X4" s="1514" t="s">
        <v>340</v>
      </c>
      <c r="Y4" s="1515"/>
      <c r="Z4" s="1514" t="s">
        <v>341</v>
      </c>
      <c r="AA4" s="1515"/>
      <c r="AB4" s="1565" t="s">
        <v>344</v>
      </c>
      <c r="AC4" s="1514" t="s">
        <v>339</v>
      </c>
      <c r="AD4" s="1515"/>
      <c r="AE4" s="1514" t="s">
        <v>340</v>
      </c>
      <c r="AF4" s="1515"/>
      <c r="AG4" s="1567" t="s">
        <v>345</v>
      </c>
      <c r="AH4" s="1514" t="s">
        <v>339</v>
      </c>
      <c r="AI4" s="1515"/>
      <c r="AJ4" s="1514" t="s">
        <v>340</v>
      </c>
      <c r="AK4" s="1515"/>
      <c r="AL4" s="1514" t="s">
        <v>341</v>
      </c>
      <c r="AM4" s="1515"/>
      <c r="AN4" s="1517" t="s">
        <v>346</v>
      </c>
      <c r="AO4" s="1570" t="s">
        <v>339</v>
      </c>
      <c r="AP4" s="1562"/>
      <c r="AQ4" s="1570" t="s">
        <v>340</v>
      </c>
      <c r="AR4" s="1562"/>
      <c r="AS4" s="1570" t="s">
        <v>341</v>
      </c>
      <c r="AT4" s="1562"/>
      <c r="AU4" s="1516" t="s">
        <v>347</v>
      </c>
      <c r="AV4" s="1571" t="s">
        <v>348</v>
      </c>
      <c r="AW4" s="1572"/>
      <c r="AX4" s="1573" t="s">
        <v>349</v>
      </c>
      <c r="AY4" s="1512"/>
      <c r="AZ4" s="1522"/>
      <c r="BA4" s="1514" t="s">
        <v>339</v>
      </c>
      <c r="BB4" s="1515"/>
      <c r="BC4" s="1514" t="s">
        <v>340</v>
      </c>
      <c r="BD4" s="1515"/>
      <c r="BE4" s="1514" t="s">
        <v>341</v>
      </c>
      <c r="BF4" s="1515"/>
      <c r="BG4" s="1516" t="s">
        <v>350</v>
      </c>
      <c r="BH4" s="1514" t="s">
        <v>339</v>
      </c>
      <c r="BI4" s="1515"/>
      <c r="BJ4" s="1514" t="s">
        <v>340</v>
      </c>
      <c r="BK4" s="1515"/>
      <c r="BL4" s="1516" t="s">
        <v>351</v>
      </c>
      <c r="BM4" s="1545"/>
      <c r="BN4" s="1514" t="s">
        <v>339</v>
      </c>
      <c r="BO4" s="1515"/>
      <c r="BP4" s="1514" t="s">
        <v>340</v>
      </c>
      <c r="BQ4" s="1515"/>
      <c r="BR4" s="1514" t="s">
        <v>341</v>
      </c>
      <c r="BS4" s="1515"/>
      <c r="BT4" s="1546" t="s">
        <v>352</v>
      </c>
      <c r="BU4" s="1514" t="s">
        <v>339</v>
      </c>
      <c r="BV4" s="1515"/>
      <c r="BW4" s="1514" t="s">
        <v>340</v>
      </c>
      <c r="BX4" s="1515"/>
      <c r="BY4" s="1514" t="s">
        <v>341</v>
      </c>
      <c r="BZ4" s="1515"/>
      <c r="CA4" s="1546" t="s">
        <v>353</v>
      </c>
      <c r="CB4" s="1539"/>
      <c r="CC4" s="1541"/>
      <c r="CD4" s="1554"/>
      <c r="CE4" s="1556"/>
      <c r="CF4" s="1559"/>
      <c r="CG4" s="1561"/>
      <c r="CH4" s="971"/>
      <c r="CI4" s="1519"/>
      <c r="CJ4" s="1519"/>
      <c r="CK4" s="1519"/>
      <c r="CL4" s="1519"/>
      <c r="CM4" s="972"/>
      <c r="CN4" s="972"/>
      <c r="CO4" s="972"/>
      <c r="CP4" s="972"/>
      <c r="CQ4" s="972"/>
      <c r="CR4" s="972"/>
      <c r="CS4" s="972"/>
      <c r="CT4" s="972"/>
      <c r="CU4" s="972"/>
      <c r="CV4" s="972"/>
      <c r="CW4" s="972"/>
      <c r="CX4" s="972"/>
      <c r="CY4" s="972"/>
      <c r="CZ4" s="972"/>
      <c r="DA4" s="972"/>
      <c r="DB4" s="972"/>
      <c r="DC4" s="972"/>
      <c r="DD4" s="972"/>
      <c r="DE4" s="972"/>
      <c r="DF4" s="972"/>
      <c r="DG4" s="972"/>
      <c r="DH4" s="972"/>
      <c r="DI4" s="972"/>
      <c r="DJ4" s="972"/>
      <c r="DK4" s="972"/>
      <c r="DL4" s="972"/>
      <c r="DM4" s="972"/>
      <c r="DN4" s="972"/>
    </row>
    <row r="5" spans="1:118" s="973" customFormat="1" ht="111.75" thickBot="1">
      <c r="A5" s="1501"/>
      <c r="B5" s="1504"/>
      <c r="C5" s="967"/>
      <c r="D5" s="1506"/>
      <c r="E5" s="1506"/>
      <c r="F5" s="1508"/>
      <c r="G5" s="1506"/>
      <c r="H5" s="974" t="s">
        <v>354</v>
      </c>
      <c r="I5" s="975" t="s">
        <v>355</v>
      </c>
      <c r="J5" s="976" t="s">
        <v>354</v>
      </c>
      <c r="K5" s="975" t="s">
        <v>355</v>
      </c>
      <c r="L5" s="976" t="s">
        <v>354</v>
      </c>
      <c r="M5" s="975" t="s">
        <v>355</v>
      </c>
      <c r="N5" s="1517"/>
      <c r="O5" s="976" t="s">
        <v>356</v>
      </c>
      <c r="P5" s="975" t="s">
        <v>357</v>
      </c>
      <c r="Q5" s="976" t="s">
        <v>356</v>
      </c>
      <c r="R5" s="975" t="s">
        <v>357</v>
      </c>
      <c r="S5" s="976" t="s">
        <v>356</v>
      </c>
      <c r="T5" s="975" t="s">
        <v>357</v>
      </c>
      <c r="U5" s="1564"/>
      <c r="V5" s="976" t="s">
        <v>358</v>
      </c>
      <c r="W5" s="975" t="s">
        <v>359</v>
      </c>
      <c r="X5" s="976" t="s">
        <v>358</v>
      </c>
      <c r="Y5" s="975" t="s">
        <v>359</v>
      </c>
      <c r="Z5" s="976" t="s">
        <v>358</v>
      </c>
      <c r="AA5" s="975" t="s">
        <v>359</v>
      </c>
      <c r="AB5" s="1566"/>
      <c r="AC5" s="976" t="s">
        <v>360</v>
      </c>
      <c r="AD5" s="975" t="s">
        <v>361</v>
      </c>
      <c r="AE5" s="976" t="s">
        <v>360</v>
      </c>
      <c r="AF5" s="975" t="s">
        <v>361</v>
      </c>
      <c r="AG5" s="1568"/>
      <c r="AH5" s="976" t="s">
        <v>362</v>
      </c>
      <c r="AI5" s="975" t="s">
        <v>363</v>
      </c>
      <c r="AJ5" s="976" t="s">
        <v>362</v>
      </c>
      <c r="AK5" s="975" t="s">
        <v>363</v>
      </c>
      <c r="AL5" s="976" t="s">
        <v>362</v>
      </c>
      <c r="AM5" s="975" t="s">
        <v>363</v>
      </c>
      <c r="AN5" s="1517"/>
      <c r="AO5" s="976" t="s">
        <v>364</v>
      </c>
      <c r="AP5" s="975" t="s">
        <v>365</v>
      </c>
      <c r="AQ5" s="976" t="s">
        <v>364</v>
      </c>
      <c r="AR5" s="975" t="s">
        <v>365</v>
      </c>
      <c r="AS5" s="976" t="s">
        <v>364</v>
      </c>
      <c r="AT5" s="975" t="s">
        <v>365</v>
      </c>
      <c r="AU5" s="1517"/>
      <c r="AV5" s="976" t="s">
        <v>366</v>
      </c>
      <c r="AW5" s="975" t="s">
        <v>367</v>
      </c>
      <c r="AX5" s="1574"/>
      <c r="AY5" s="1513"/>
      <c r="AZ5" s="1522"/>
      <c r="BA5" s="976" t="s">
        <v>368</v>
      </c>
      <c r="BB5" s="975" t="s">
        <v>369</v>
      </c>
      <c r="BC5" s="976" t="s">
        <v>368</v>
      </c>
      <c r="BD5" s="975" t="s">
        <v>369</v>
      </c>
      <c r="BE5" s="976" t="s">
        <v>368</v>
      </c>
      <c r="BF5" s="975" t="s">
        <v>369</v>
      </c>
      <c r="BG5" s="1517"/>
      <c r="BH5" s="976" t="s">
        <v>370</v>
      </c>
      <c r="BI5" s="975" t="s">
        <v>371</v>
      </c>
      <c r="BJ5" s="976" t="s">
        <v>372</v>
      </c>
      <c r="BK5" s="975" t="s">
        <v>371</v>
      </c>
      <c r="BL5" s="1517"/>
      <c r="BM5" s="1545"/>
      <c r="BN5" s="976" t="s">
        <v>373</v>
      </c>
      <c r="BO5" s="975" t="s">
        <v>374</v>
      </c>
      <c r="BP5" s="976" t="s">
        <v>373</v>
      </c>
      <c r="BQ5" s="975" t="s">
        <v>374</v>
      </c>
      <c r="BR5" s="976" t="s">
        <v>373</v>
      </c>
      <c r="BS5" s="975" t="s">
        <v>374</v>
      </c>
      <c r="BT5" s="1547"/>
      <c r="BU5" s="976" t="s">
        <v>375</v>
      </c>
      <c r="BV5" s="975" t="s">
        <v>376</v>
      </c>
      <c r="BW5" s="976" t="s">
        <v>375</v>
      </c>
      <c r="BX5" s="975" t="s">
        <v>376</v>
      </c>
      <c r="BY5" s="976" t="s">
        <v>375</v>
      </c>
      <c r="BZ5" s="975" t="s">
        <v>376</v>
      </c>
      <c r="CA5" s="1547"/>
      <c r="CB5" s="1539"/>
      <c r="CC5" s="1541"/>
      <c r="CD5" s="1554"/>
      <c r="CE5" s="1557"/>
      <c r="CF5" s="1560"/>
      <c r="CG5" s="1561"/>
      <c r="CH5" s="971"/>
      <c r="CI5" s="1520"/>
      <c r="CJ5" s="1520"/>
      <c r="CK5" s="1520"/>
      <c r="CL5" s="1520"/>
      <c r="CM5" s="972"/>
      <c r="CN5" s="972"/>
      <c r="CO5" s="972"/>
      <c r="CP5" s="972"/>
      <c r="CQ5" s="972"/>
      <c r="CR5" s="972"/>
      <c r="CS5" s="972"/>
      <c r="CT5" s="972"/>
      <c r="CU5" s="972"/>
      <c r="CV5" s="972"/>
      <c r="CW5" s="972"/>
      <c r="CX5" s="972"/>
      <c r="CY5" s="972"/>
      <c r="CZ5" s="972"/>
      <c r="DA5" s="972"/>
      <c r="DB5" s="972"/>
      <c r="DC5" s="972"/>
      <c r="DD5" s="972"/>
      <c r="DE5" s="972"/>
      <c r="DF5" s="972"/>
      <c r="DG5" s="972"/>
      <c r="DH5" s="972"/>
      <c r="DI5" s="972"/>
      <c r="DJ5" s="972"/>
      <c r="DK5" s="972"/>
      <c r="DL5" s="972"/>
      <c r="DM5" s="972"/>
      <c r="DN5" s="972"/>
    </row>
    <row r="6" spans="1:118" s="991" customFormat="1" ht="12" thickBot="1">
      <c r="A6" s="977">
        <v>1</v>
      </c>
      <c r="B6" s="978">
        <v>2</v>
      </c>
      <c r="C6" s="979"/>
      <c r="D6" s="979"/>
      <c r="E6" s="979"/>
      <c r="F6" s="978"/>
      <c r="G6" s="978">
        <v>3</v>
      </c>
      <c r="H6" s="980">
        <v>4</v>
      </c>
      <c r="I6" s="981">
        <v>5</v>
      </c>
      <c r="J6" s="982">
        <v>6</v>
      </c>
      <c r="K6" s="981">
        <v>7</v>
      </c>
      <c r="L6" s="982">
        <v>8</v>
      </c>
      <c r="M6" s="981">
        <v>9</v>
      </c>
      <c r="N6" s="983">
        <v>10</v>
      </c>
      <c r="O6" s="982">
        <v>11</v>
      </c>
      <c r="P6" s="981">
        <v>12</v>
      </c>
      <c r="Q6" s="982">
        <v>13</v>
      </c>
      <c r="R6" s="981">
        <v>14</v>
      </c>
      <c r="S6" s="982">
        <v>15</v>
      </c>
      <c r="T6" s="981">
        <v>16</v>
      </c>
      <c r="U6" s="983">
        <v>17</v>
      </c>
      <c r="V6" s="982">
        <v>18</v>
      </c>
      <c r="W6" s="981">
        <v>19</v>
      </c>
      <c r="X6" s="982">
        <v>20</v>
      </c>
      <c r="Y6" s="981">
        <v>21</v>
      </c>
      <c r="Z6" s="982">
        <v>22</v>
      </c>
      <c r="AA6" s="981">
        <v>23</v>
      </c>
      <c r="AB6" s="983">
        <v>24</v>
      </c>
      <c r="AC6" s="982">
        <v>25</v>
      </c>
      <c r="AD6" s="981">
        <v>26</v>
      </c>
      <c r="AE6" s="982">
        <v>27</v>
      </c>
      <c r="AF6" s="981">
        <v>28</v>
      </c>
      <c r="AG6" s="983">
        <v>29</v>
      </c>
      <c r="AH6" s="982">
        <v>30</v>
      </c>
      <c r="AI6" s="981">
        <v>31</v>
      </c>
      <c r="AJ6" s="982">
        <v>32</v>
      </c>
      <c r="AK6" s="981">
        <v>33</v>
      </c>
      <c r="AL6" s="982">
        <v>34</v>
      </c>
      <c r="AM6" s="981">
        <v>35</v>
      </c>
      <c r="AN6" s="983">
        <v>36</v>
      </c>
      <c r="AO6" s="982">
        <v>37</v>
      </c>
      <c r="AP6" s="981">
        <v>38</v>
      </c>
      <c r="AQ6" s="982">
        <v>39</v>
      </c>
      <c r="AR6" s="981">
        <v>40</v>
      </c>
      <c r="AS6" s="982">
        <v>41</v>
      </c>
      <c r="AT6" s="981">
        <v>42</v>
      </c>
      <c r="AU6" s="983">
        <v>43</v>
      </c>
      <c r="AV6" s="982">
        <v>44</v>
      </c>
      <c r="AW6" s="981">
        <v>45</v>
      </c>
      <c r="AX6" s="983">
        <v>46</v>
      </c>
      <c r="AY6" s="984">
        <v>47</v>
      </c>
      <c r="AZ6" s="982">
        <v>48</v>
      </c>
      <c r="BA6" s="982">
        <v>49</v>
      </c>
      <c r="BB6" s="981">
        <v>50</v>
      </c>
      <c r="BC6" s="982">
        <v>51</v>
      </c>
      <c r="BD6" s="981">
        <v>52</v>
      </c>
      <c r="BE6" s="982">
        <v>53</v>
      </c>
      <c r="BF6" s="981">
        <v>54</v>
      </c>
      <c r="BG6" s="983">
        <v>55</v>
      </c>
      <c r="BH6" s="982">
        <v>56</v>
      </c>
      <c r="BI6" s="981">
        <v>57</v>
      </c>
      <c r="BJ6" s="982">
        <v>58</v>
      </c>
      <c r="BK6" s="981">
        <v>59</v>
      </c>
      <c r="BL6" s="983">
        <v>60</v>
      </c>
      <c r="BM6" s="984">
        <v>61</v>
      </c>
      <c r="BN6" s="982">
        <v>62</v>
      </c>
      <c r="BO6" s="981">
        <v>63</v>
      </c>
      <c r="BP6" s="982">
        <v>64</v>
      </c>
      <c r="BQ6" s="981">
        <v>65</v>
      </c>
      <c r="BR6" s="982">
        <v>66</v>
      </c>
      <c r="BS6" s="981">
        <v>67</v>
      </c>
      <c r="BT6" s="984">
        <v>68</v>
      </c>
      <c r="BU6" s="982">
        <v>69</v>
      </c>
      <c r="BV6" s="981">
        <v>70</v>
      </c>
      <c r="BW6" s="982">
        <v>71</v>
      </c>
      <c r="BX6" s="981">
        <v>72</v>
      </c>
      <c r="BY6" s="982">
        <v>73</v>
      </c>
      <c r="BZ6" s="981">
        <v>74</v>
      </c>
      <c r="CA6" s="984">
        <v>75</v>
      </c>
      <c r="CB6" s="985">
        <v>76</v>
      </c>
      <c r="CC6" s="983">
        <v>77</v>
      </c>
      <c r="CD6" s="984">
        <v>78</v>
      </c>
      <c r="CE6" s="986">
        <v>79</v>
      </c>
      <c r="CF6" s="987"/>
      <c r="CG6" s="988"/>
      <c r="CH6" s="988"/>
      <c r="CI6" s="989"/>
      <c r="CJ6" s="989"/>
      <c r="CK6" s="989"/>
      <c r="CL6" s="988"/>
      <c r="CM6" s="990"/>
      <c r="CN6" s="990"/>
      <c r="CO6" s="990"/>
      <c r="CP6" s="990"/>
      <c r="CQ6" s="990"/>
      <c r="CR6" s="990"/>
      <c r="CS6" s="990"/>
      <c r="CT6" s="990"/>
      <c r="CU6" s="990"/>
      <c r="CV6" s="990"/>
      <c r="CW6" s="990"/>
      <c r="CX6" s="990"/>
      <c r="CY6" s="990"/>
      <c r="CZ6" s="990"/>
      <c r="DA6" s="990"/>
      <c r="DB6" s="990"/>
      <c r="DC6" s="990"/>
      <c r="DD6" s="990"/>
      <c r="DE6" s="990"/>
      <c r="DF6" s="990"/>
      <c r="DG6" s="990"/>
      <c r="DH6" s="990"/>
      <c r="DI6" s="990"/>
      <c r="DJ6" s="990"/>
      <c r="DK6" s="990"/>
      <c r="DL6" s="990"/>
      <c r="DM6" s="990"/>
      <c r="DN6" s="990"/>
    </row>
    <row r="7" spans="1:118" ht="16.5">
      <c r="A7" s="118" t="s">
        <v>387</v>
      </c>
      <c r="B7" s="992" t="s">
        <v>699</v>
      </c>
      <c r="C7" s="993">
        <f>E7-D7</f>
        <v>7</v>
      </c>
      <c r="D7" s="732">
        <v>1219</v>
      </c>
      <c r="E7" s="994">
        <f>F7+G7</f>
        <v>1226</v>
      </c>
      <c r="F7" s="995">
        <f>'[1]ФОТ 2016 29.02.16'!C17</f>
        <v>448</v>
      </c>
      <c r="G7" s="995">
        <f>I7+K7+M7+P7+R7+T7+W7+Y7+AA7+AD7+AF7+AI7+AK7+AM7+AP7+AR7+AT7+AW7+BB7+BD7+BF7+BI7+BK7+BO7+BQ7+BS7+BV7+BX7+BZ7</f>
        <v>778</v>
      </c>
      <c r="H7" s="1006">
        <f t="shared" ref="H7:L34" si="0">H8</f>
        <v>31250.82</v>
      </c>
      <c r="I7" s="996">
        <f>'Численность 2016'!E13</f>
        <v>331</v>
      </c>
      <c r="J7" s="1006">
        <f t="shared" si="0"/>
        <v>38535.26</v>
      </c>
      <c r="K7" s="996">
        <f>'Численность 2016'!G13</f>
        <v>376</v>
      </c>
      <c r="L7" s="1006">
        <f t="shared" si="0"/>
        <v>36779.949999999997</v>
      </c>
      <c r="M7" s="996">
        <f>'Численность 2016'!I13</f>
        <v>65</v>
      </c>
      <c r="N7" s="142">
        <f>ROUND((H7*I7+J7*K7+L7*M7),2)</f>
        <v>27223975.93</v>
      </c>
      <c r="O7" s="1006">
        <f t="shared" ref="O7:O34" si="1">O8</f>
        <v>35546.49</v>
      </c>
      <c r="P7" s="996">
        <f>'Численность 2016'!L13</f>
        <v>0</v>
      </c>
      <c r="Q7" s="1006">
        <f t="shared" ref="Q7:Q34" si="2">Q8</f>
        <v>43923.6</v>
      </c>
      <c r="R7" s="996">
        <f>'Численность 2016'!N13</f>
        <v>0</v>
      </c>
      <c r="S7" s="1006">
        <f t="shared" ref="S7:S34" si="3">S8</f>
        <v>41904.99</v>
      </c>
      <c r="T7" s="996">
        <f>'Численность 2016'!P13</f>
        <v>0</v>
      </c>
      <c r="U7" s="142">
        <f>ROUND((O7*P7+Q7*R7+S7*T7),2)</f>
        <v>0</v>
      </c>
      <c r="V7" s="1006">
        <f t="shared" ref="V7:V34" si="4">V8</f>
        <v>41274.050000000003</v>
      </c>
      <c r="W7" s="897">
        <f>'Численность 2016'!S13</f>
        <v>0</v>
      </c>
      <c r="X7" s="1006">
        <f t="shared" ref="X7:X34" si="5">X8</f>
        <v>51108.05</v>
      </c>
      <c r="Y7" s="897">
        <f>'Численность 2016'!U13</f>
        <v>0</v>
      </c>
      <c r="Z7" s="1006">
        <f t="shared" ref="Z7:Z34" si="6">Z8</f>
        <v>48738.38</v>
      </c>
      <c r="AA7" s="897">
        <f>'Численность 2016'!W13</f>
        <v>0</v>
      </c>
      <c r="AB7" s="142">
        <f>ROUND((V7*W7+X7*Y7+Z7*AA7),2)</f>
        <v>0</v>
      </c>
      <c r="AC7" s="1006">
        <f t="shared" ref="AC7:AC34" si="7">AC8</f>
        <v>45569.73</v>
      </c>
      <c r="AD7" s="897">
        <f>'Численность 2016'!Z13</f>
        <v>0</v>
      </c>
      <c r="AE7" s="1006">
        <f t="shared" ref="AE7:AE34" si="8">AE8</f>
        <v>56496.39</v>
      </c>
      <c r="AF7" s="897">
        <f>'Численность 2016'!AB13</f>
        <v>0</v>
      </c>
      <c r="AG7" s="142">
        <f>ROUND((AC7*AD7+AE7*AF7),2)</f>
        <v>0</v>
      </c>
      <c r="AH7" s="1006">
        <f t="shared" ref="AH7:AH34" si="9">AH8</f>
        <v>54161.08</v>
      </c>
      <c r="AI7" s="897">
        <f>'Численность 2016'!AE13</f>
        <v>0</v>
      </c>
      <c r="AJ7" s="1006">
        <f t="shared" ref="AJ7:AJ34" si="10">AJ8</f>
        <v>67273.070000000007</v>
      </c>
      <c r="AK7" s="897">
        <f>'Численность 2016'!AG13</f>
        <v>0</v>
      </c>
      <c r="AL7" s="1006">
        <f t="shared" ref="AL7:AL34" si="11">AL8</f>
        <v>64113.51</v>
      </c>
      <c r="AM7" s="897">
        <f>'Численность 2016'!AI13</f>
        <v>0</v>
      </c>
      <c r="AN7" s="142">
        <f>ROUND((AH7*AI7+AJ7*AK7+AL7*AM7),2)</f>
        <v>0</v>
      </c>
      <c r="AO7" s="1006">
        <f t="shared" ref="AO7:AO34" si="12">AO8</f>
        <v>29360.82</v>
      </c>
      <c r="AP7" s="897">
        <f>'Численность 2016'!AL13</f>
        <v>0</v>
      </c>
      <c r="AQ7" s="1006">
        <f t="shared" ref="AQ7:AQ34" si="13">AQ8</f>
        <v>36645.26</v>
      </c>
      <c r="AR7" s="897">
        <f>'Численность 2016'!AN13</f>
        <v>0</v>
      </c>
      <c r="AS7" s="1006">
        <f t="shared" ref="AS7:AS34" si="14">AS8</f>
        <v>34889.949999999997</v>
      </c>
      <c r="AT7" s="897">
        <f>'Численность 2016'!AP13</f>
        <v>0</v>
      </c>
      <c r="AU7" s="142">
        <f>ROUND((AO7*AP7+AQ7*AR7+AS7*AT7),2)</f>
        <v>0</v>
      </c>
      <c r="AV7" s="1006">
        <f t="shared" ref="AV7:AV34" si="15">AV8</f>
        <v>35718.379999999997</v>
      </c>
      <c r="AW7" s="897">
        <f>'Численность 2016'!AS13</f>
        <v>6</v>
      </c>
      <c r="AX7" s="142">
        <f>ROUND((AV7*AW7),2)</f>
        <v>214310.28</v>
      </c>
      <c r="AY7" s="143">
        <f>AX7+AU7+AN7+AG7+AB7+U7+N7</f>
        <v>27438286.210000001</v>
      </c>
      <c r="AZ7" s="997">
        <f>'Численность 2016'!AV7</f>
        <v>1.464</v>
      </c>
      <c r="BA7" s="1006">
        <f t="shared" ref="BA7:BA34" si="16">BA8</f>
        <v>65258.22</v>
      </c>
      <c r="BB7" s="897">
        <f>'Численность 2016'!AX13</f>
        <v>0</v>
      </c>
      <c r="BC7" s="1006">
        <f t="shared" ref="BC7:BC34" si="17">BC8</f>
        <v>81192.94</v>
      </c>
      <c r="BD7" s="897">
        <f>'Численность 2016'!AZ13</f>
        <v>0</v>
      </c>
      <c r="BE7" s="1006">
        <f t="shared" ref="BE7:BE34" si="18">BE8</f>
        <v>77353.2</v>
      </c>
      <c r="BF7" s="897">
        <f>'Численность 2016'!BB13</f>
        <v>0</v>
      </c>
      <c r="BG7" s="142">
        <f>ROUND((BA7*BB7+BC7*BD7+BE7*BF7),2)</f>
        <v>0</v>
      </c>
      <c r="BH7" s="1006">
        <f t="shared" ref="BH7:BH34" si="19">BH8</f>
        <v>77787.27</v>
      </c>
      <c r="BI7" s="897">
        <f>'Численность 2016'!BE13</f>
        <v>0</v>
      </c>
      <c r="BJ7" s="1006">
        <f t="shared" ref="BJ7:BJ34" si="20">BJ8</f>
        <v>96908.93</v>
      </c>
      <c r="BK7" s="897">
        <f>'Численность 2016'!BG13</f>
        <v>0</v>
      </c>
      <c r="BL7" s="142">
        <f>ROUND((BH7*BI7+BJ7*BK7),2)</f>
        <v>0</v>
      </c>
      <c r="BM7" s="144">
        <f>BL7+BG7</f>
        <v>0</v>
      </c>
      <c r="BN7" s="1006">
        <f t="shared" ref="BN7:BN34" si="21">BN8</f>
        <v>25708.01</v>
      </c>
      <c r="BO7" s="897">
        <f>'Численность 2016'!BK13</f>
        <v>0</v>
      </c>
      <c r="BP7" s="1006">
        <f t="shared" ref="BP7:BP34" si="22">BP8</f>
        <v>27763.9</v>
      </c>
      <c r="BQ7" s="897">
        <f>'Численность 2016'!BM13</f>
        <v>0</v>
      </c>
      <c r="BR7" s="1006">
        <f t="shared" ref="BR7:BR34" si="23">BR8</f>
        <v>23851.91</v>
      </c>
      <c r="BS7" s="897">
        <f>'Численность 2016'!BO13</f>
        <v>0</v>
      </c>
      <c r="BT7" s="144">
        <f>ROUND((BN7*BO7+BP7*BQ7+BR7*BS7),2)</f>
        <v>0</v>
      </c>
      <c r="BU7" s="1006">
        <f t="shared" ref="BU7:BU34" si="24">BU8</f>
        <v>42444.76</v>
      </c>
      <c r="BV7" s="897">
        <f>'Численность 2016'!BR13</f>
        <v>0</v>
      </c>
      <c r="BW7" s="1006">
        <f t="shared" ref="BW7:BW34" si="25">BW8</f>
        <v>46158.78</v>
      </c>
      <c r="BX7" s="897">
        <f>'Численность 2016'!BT13</f>
        <v>0</v>
      </c>
      <c r="BY7" s="1006">
        <f t="shared" ref="BY7:BY34" si="26">BY8</f>
        <v>39091.67</v>
      </c>
      <c r="BZ7" s="897">
        <f>'Численность 2016'!BV13</f>
        <v>0</v>
      </c>
      <c r="CA7" s="144">
        <f>ROUND((BU7*BV7+BW7*BX7+BY7*BZ7),2)</f>
        <v>0</v>
      </c>
      <c r="CB7" s="146">
        <f>ROUND((AY7*AZ7+BM7+BT7+CA7),2)</f>
        <v>40169651.009999998</v>
      </c>
      <c r="CC7" s="998">
        <f>'старое не смотреть'!F19</f>
        <v>50729027.660000004</v>
      </c>
      <c r="CD7" s="999">
        <f>CB7+CC7</f>
        <v>90898678.670000002</v>
      </c>
      <c r="CE7" s="1000">
        <f>CD7</f>
        <v>90898678.670000002</v>
      </c>
      <c r="CF7" s="1001">
        <v>88626810.640000001</v>
      </c>
      <c r="CG7" s="1230">
        <f>CE7-CF7</f>
        <v>2271868.0300000012</v>
      </c>
      <c r="CH7" s="1003"/>
      <c r="CI7" s="1004">
        <f>(I7+K7+M7+P7+R7+T7+W7+Y7+AA7+AD7+AF7+AI7+AK7+AM7+BB7+BD7+BF7+BI7+BK7+BO7+BQ7+BS7)*2613+(AP7+AR7+AT7+BV7+BX7+BZ7)*723+AW7*1353</f>
        <v>2025354</v>
      </c>
      <c r="CJ7" s="1005">
        <f>'[1]Свод ФОТ 2016'!BY25</f>
        <v>1109792</v>
      </c>
      <c r="CK7" s="1004">
        <f>CJ7+CI7</f>
        <v>3135146</v>
      </c>
      <c r="CL7" s="1004">
        <f>CE7-CK7</f>
        <v>87763532.670000002</v>
      </c>
      <c r="CM7" s="433">
        <v>90898678.670000002</v>
      </c>
      <c r="CO7" s="433">
        <v>-200</v>
      </c>
    </row>
    <row r="8" spans="1:118" ht="16.5">
      <c r="A8" s="122" t="s">
        <v>389</v>
      </c>
      <c r="B8" s="992" t="s">
        <v>75</v>
      </c>
      <c r="C8" s="993">
        <f t="shared" ref="C8:C35" si="27">E8-D8</f>
        <v>-13</v>
      </c>
      <c r="D8" s="732">
        <v>757</v>
      </c>
      <c r="E8" s="994">
        <f t="shared" ref="E8:E35" si="28">F8+G8</f>
        <v>744</v>
      </c>
      <c r="F8" s="995">
        <f>'[1]ФОТ 2016 29.02.16'!C28</f>
        <v>229</v>
      </c>
      <c r="G8" s="995">
        <f t="shared" ref="G8:G35" si="29">I8+K8+M8+P8+R8+T8+W8+Y8+AA8+AD8+AF8+AI8+AK8+AM8+AP8+AR8+AT8+AW8+BB8+BD8+BF8+BI8+BK8+BO8+BQ8+BS8+BV8+BX8+BZ8</f>
        <v>515</v>
      </c>
      <c r="H8" s="1006">
        <f t="shared" si="0"/>
        <v>31250.82</v>
      </c>
      <c r="I8" s="897">
        <f>'Численность 2016'!E18</f>
        <v>202</v>
      </c>
      <c r="J8" s="1006">
        <f t="shared" si="0"/>
        <v>38535.26</v>
      </c>
      <c r="K8" s="897">
        <f>'Численность 2016'!G18</f>
        <v>254</v>
      </c>
      <c r="L8" s="1006">
        <f t="shared" si="0"/>
        <v>36779.949999999997</v>
      </c>
      <c r="M8" s="897">
        <f>'Численность 2016'!I18</f>
        <v>59</v>
      </c>
      <c r="N8" s="142">
        <f t="shared" ref="N8:N35" si="30">ROUND((H8*I8+J8*K8+L8*M8),2)</f>
        <v>18270638.73</v>
      </c>
      <c r="O8" s="1006">
        <f t="shared" si="1"/>
        <v>35546.49</v>
      </c>
      <c r="P8" s="897">
        <f>'Численность 2016'!L18</f>
        <v>0</v>
      </c>
      <c r="Q8" s="1006">
        <f t="shared" si="2"/>
        <v>43923.6</v>
      </c>
      <c r="R8" s="897">
        <f>'Численность 2016'!N18</f>
        <v>0</v>
      </c>
      <c r="S8" s="1006">
        <f t="shared" si="3"/>
        <v>41904.99</v>
      </c>
      <c r="T8" s="897">
        <f>'Численность 2016'!P18</f>
        <v>0</v>
      </c>
      <c r="U8" s="142">
        <f t="shared" ref="U8:U35" si="31">ROUND((O8*P8+Q8*R8+S8*T8),2)</f>
        <v>0</v>
      </c>
      <c r="V8" s="1006">
        <f t="shared" si="4"/>
        <v>41274.050000000003</v>
      </c>
      <c r="W8" s="897">
        <f>'Численность 2016'!S18</f>
        <v>0</v>
      </c>
      <c r="X8" s="1006">
        <f t="shared" si="5"/>
        <v>51108.05</v>
      </c>
      <c r="Y8" s="897">
        <f>'Численность 2016'!U18</f>
        <v>0</v>
      </c>
      <c r="Z8" s="1006">
        <f t="shared" si="6"/>
        <v>48738.38</v>
      </c>
      <c r="AA8" s="897">
        <f>'Численность 2016'!W18</f>
        <v>0</v>
      </c>
      <c r="AB8" s="142">
        <f t="shared" ref="AB8:AB35" si="32">ROUND((V8*W8+X8*Y8+Z8*AA8),2)</f>
        <v>0</v>
      </c>
      <c r="AC8" s="1006">
        <f t="shared" si="7"/>
        <v>45569.73</v>
      </c>
      <c r="AD8" s="897">
        <f>'Численность 2016'!Z18</f>
        <v>0</v>
      </c>
      <c r="AE8" s="1006">
        <f t="shared" si="8"/>
        <v>56496.39</v>
      </c>
      <c r="AF8" s="897">
        <f>'Численность 2016'!AB18</f>
        <v>0</v>
      </c>
      <c r="AG8" s="142">
        <f t="shared" ref="AG8:AG35" si="33">ROUND((AC8*AD8+AE8*AF8),2)</f>
        <v>0</v>
      </c>
      <c r="AH8" s="1006">
        <f t="shared" si="9"/>
        <v>54161.08</v>
      </c>
      <c r="AI8" s="897">
        <f>'Численность 2016'!AE18</f>
        <v>0</v>
      </c>
      <c r="AJ8" s="1006">
        <f t="shared" si="10"/>
        <v>67273.070000000007</v>
      </c>
      <c r="AK8" s="897">
        <f>'Численность 2016'!AG18</f>
        <v>0</v>
      </c>
      <c r="AL8" s="1006">
        <f t="shared" si="11"/>
        <v>64113.51</v>
      </c>
      <c r="AM8" s="897">
        <f>'Численность 2016'!AI18</f>
        <v>0</v>
      </c>
      <c r="AN8" s="142">
        <f t="shared" ref="AN8:AN35" si="34">ROUND((AH8*AI8+AJ8*AK8+AL8*AM8),2)</f>
        <v>0</v>
      </c>
      <c r="AO8" s="1006">
        <f t="shared" si="12"/>
        <v>29360.82</v>
      </c>
      <c r="AP8" s="897">
        <f>'Численность 2016'!AL18</f>
        <v>0</v>
      </c>
      <c r="AQ8" s="1006">
        <f t="shared" si="13"/>
        <v>36645.26</v>
      </c>
      <c r="AR8" s="897">
        <f>'Численность 2016'!AN18</f>
        <v>0</v>
      </c>
      <c r="AS8" s="1006">
        <f t="shared" si="14"/>
        <v>34889.949999999997</v>
      </c>
      <c r="AT8" s="897">
        <f>'Численность 2016'!AP18</f>
        <v>0</v>
      </c>
      <c r="AU8" s="142">
        <f t="shared" ref="AU8:AU35" si="35">ROUND((AO8*AP8+AQ8*AR8+AS8*AT8),2)</f>
        <v>0</v>
      </c>
      <c r="AV8" s="1006">
        <f t="shared" si="15"/>
        <v>35718.379999999997</v>
      </c>
      <c r="AW8" s="897">
        <f>'Численность 2016'!AS18</f>
        <v>0</v>
      </c>
      <c r="AX8" s="142">
        <f t="shared" ref="AX8:AX35" si="36">ROUND((AV8*AW8),2)</f>
        <v>0</v>
      </c>
      <c r="AY8" s="143">
        <f t="shared" ref="AY8:AY35" si="37">AX8+AU8+AN8+AG8+AB8+U8+N8</f>
        <v>18270638.73</v>
      </c>
      <c r="AZ8" s="997">
        <f>'Численность 2016'!AV14</f>
        <v>1.4730000000000001</v>
      </c>
      <c r="BA8" s="1006">
        <f t="shared" si="16"/>
        <v>65258.22</v>
      </c>
      <c r="BB8" s="897">
        <f>'Численность 2016'!AX18</f>
        <v>0</v>
      </c>
      <c r="BC8" s="1006">
        <f t="shared" si="17"/>
        <v>81192.94</v>
      </c>
      <c r="BD8" s="897">
        <f>'Численность 2016'!AZ18</f>
        <v>0</v>
      </c>
      <c r="BE8" s="1006">
        <f t="shared" si="18"/>
        <v>77353.2</v>
      </c>
      <c r="BF8" s="897">
        <f>'Численность 2016'!BB18</f>
        <v>0</v>
      </c>
      <c r="BG8" s="142">
        <f t="shared" ref="BG8:BG35" si="38">ROUND((BA8*BB8+BC8*BD8+BE8*BF8),2)</f>
        <v>0</v>
      </c>
      <c r="BH8" s="1006">
        <f t="shared" si="19"/>
        <v>77787.27</v>
      </c>
      <c r="BI8" s="897">
        <f>'Численность 2016'!BE18</f>
        <v>0</v>
      </c>
      <c r="BJ8" s="1006">
        <f t="shared" si="20"/>
        <v>96908.93</v>
      </c>
      <c r="BK8" s="897">
        <f>'Численность 2016'!BG18</f>
        <v>0</v>
      </c>
      <c r="BL8" s="142">
        <f t="shared" ref="BL8:BL35" si="39">ROUND((BH8*BI8+BJ8*BK8),2)</f>
        <v>0</v>
      </c>
      <c r="BM8" s="144">
        <f t="shared" ref="BM8:BM35" si="40">BL8+BG8</f>
        <v>0</v>
      </c>
      <c r="BN8" s="1006">
        <f t="shared" si="21"/>
        <v>25708.01</v>
      </c>
      <c r="BO8" s="897">
        <f>'Численность 2016'!BK18</f>
        <v>0</v>
      </c>
      <c r="BP8" s="1006">
        <f t="shared" si="22"/>
        <v>27763.9</v>
      </c>
      <c r="BQ8" s="897">
        <f>'Численность 2016'!BM18</f>
        <v>0</v>
      </c>
      <c r="BR8" s="1006">
        <f t="shared" si="23"/>
        <v>23851.91</v>
      </c>
      <c r="BS8" s="897">
        <f>'Численность 2016'!BO18</f>
        <v>0</v>
      </c>
      <c r="BT8" s="144">
        <f t="shared" ref="BT8:BT35" si="41">ROUND((BN8*BO8+BP8*BQ8+BR8*BS8),2)</f>
        <v>0</v>
      </c>
      <c r="BU8" s="1006">
        <f t="shared" si="24"/>
        <v>42444.76</v>
      </c>
      <c r="BV8" s="897">
        <f>'Численность 2016'!BR18</f>
        <v>0</v>
      </c>
      <c r="BW8" s="1006">
        <f t="shared" si="25"/>
        <v>46158.78</v>
      </c>
      <c r="BX8" s="897">
        <f>'Численность 2016'!BT18</f>
        <v>0</v>
      </c>
      <c r="BY8" s="1006">
        <f t="shared" si="26"/>
        <v>39091.67</v>
      </c>
      <c r="BZ8" s="897">
        <f>'Численность 2016'!BV18</f>
        <v>0</v>
      </c>
      <c r="CA8" s="144">
        <f t="shared" ref="CA8:CA35" si="42">ROUND((BU8*BV8+BW8*BX8+BY8*BZ8),2)</f>
        <v>0</v>
      </c>
      <c r="CB8" s="146">
        <f>ROUND((AY8*AZ8+BM8+BT8+CA8),2)</f>
        <v>26912650.850000001</v>
      </c>
      <c r="CC8" s="1007">
        <f>'старое не смотреть'!F30</f>
        <v>29336632.780000001</v>
      </c>
      <c r="CD8" s="999">
        <f t="shared" ref="CD8:CD35" si="43">CB8+CC8</f>
        <v>56249283.630000003</v>
      </c>
      <c r="CE8" s="1000">
        <f>CD8</f>
        <v>56249283.630000003</v>
      </c>
      <c r="CF8" s="1001">
        <v>55237879.840000004</v>
      </c>
      <c r="CG8" s="1009">
        <f t="shared" ref="CG8:CG35" si="44">CE8-CF8</f>
        <v>1011403.7899999991</v>
      </c>
      <c r="CH8" s="1003"/>
      <c r="CI8" s="1004">
        <f t="shared" ref="CI8:CI35" si="45">(I8+K8+M8+P8+R8+T8+W8+Y8+AA8+AD8+AF8+AI8+AK8+AM8+BB8+BD8+BF8+BI8+BK8+BO8+BQ8+BS8)*2613+(AP8+AR8+AT8+BV8+BX8+BZ8)*723+AW8*1353</f>
        <v>1345695</v>
      </c>
      <c r="CJ8" s="1005">
        <f>'[1]Свод ФОТ 2016'!BY34</f>
        <v>778800</v>
      </c>
      <c r="CK8" s="1004">
        <f t="shared" ref="CK8:CK35" si="46">CJ8+CI8</f>
        <v>2124495</v>
      </c>
      <c r="CL8" s="1004">
        <f t="shared" ref="CL8:CL35" si="47">CE8-CK8</f>
        <v>54124788.630000003</v>
      </c>
      <c r="CM8" s="433">
        <v>56249283.630000003</v>
      </c>
      <c r="CO8" s="433"/>
    </row>
    <row r="9" spans="1:118" ht="16.5">
      <c r="A9" s="122" t="s">
        <v>393</v>
      </c>
      <c r="B9" s="992" t="s">
        <v>85</v>
      </c>
      <c r="C9" s="993">
        <f t="shared" si="27"/>
        <v>107</v>
      </c>
      <c r="D9" s="732">
        <v>845</v>
      </c>
      <c r="E9" s="994">
        <f t="shared" si="28"/>
        <v>952</v>
      </c>
      <c r="F9" s="995">
        <f>'[1]ФОТ 2016 29.02.16'!C36</f>
        <v>952</v>
      </c>
      <c r="G9" s="995">
        <f t="shared" si="29"/>
        <v>0</v>
      </c>
      <c r="H9" s="1006">
        <f t="shared" si="0"/>
        <v>31250.82</v>
      </c>
      <c r="I9" s="897">
        <f>'Численность 2016'!E20</f>
        <v>0</v>
      </c>
      <c r="J9" s="1006">
        <f t="shared" si="0"/>
        <v>38535.26</v>
      </c>
      <c r="K9" s="897">
        <f>'Численность 2016'!G20</f>
        <v>0</v>
      </c>
      <c r="L9" s="1006">
        <f t="shared" si="0"/>
        <v>36779.949999999997</v>
      </c>
      <c r="M9" s="897">
        <f>'Численность 2016'!I20</f>
        <v>0</v>
      </c>
      <c r="N9" s="142">
        <f t="shared" si="30"/>
        <v>0</v>
      </c>
      <c r="O9" s="1006">
        <f t="shared" si="1"/>
        <v>35546.49</v>
      </c>
      <c r="P9" s="897">
        <f>'Численность 2016'!L20</f>
        <v>0</v>
      </c>
      <c r="Q9" s="1006">
        <f t="shared" si="2"/>
        <v>43923.6</v>
      </c>
      <c r="R9" s="897">
        <f>'Численность 2016'!N20</f>
        <v>0</v>
      </c>
      <c r="S9" s="1006">
        <f t="shared" si="3"/>
        <v>41904.99</v>
      </c>
      <c r="T9" s="897">
        <f>'Численность 2016'!P20</f>
        <v>0</v>
      </c>
      <c r="U9" s="142">
        <f t="shared" si="31"/>
        <v>0</v>
      </c>
      <c r="V9" s="1006">
        <f t="shared" si="4"/>
        <v>41274.050000000003</v>
      </c>
      <c r="W9" s="897">
        <f>'Численность 2016'!S20</f>
        <v>0</v>
      </c>
      <c r="X9" s="1006">
        <f t="shared" si="5"/>
        <v>51108.05</v>
      </c>
      <c r="Y9" s="897">
        <f>'Численность 2016'!U20</f>
        <v>0</v>
      </c>
      <c r="Z9" s="1006">
        <f t="shared" si="6"/>
        <v>48738.38</v>
      </c>
      <c r="AA9" s="897">
        <f>'Численность 2016'!W20</f>
        <v>0</v>
      </c>
      <c r="AB9" s="142">
        <f t="shared" si="32"/>
        <v>0</v>
      </c>
      <c r="AC9" s="1006">
        <f t="shared" si="7"/>
        <v>45569.73</v>
      </c>
      <c r="AD9" s="897">
        <f>'Численность 2016'!Z20</f>
        <v>0</v>
      </c>
      <c r="AE9" s="1006">
        <f t="shared" si="8"/>
        <v>56496.39</v>
      </c>
      <c r="AF9" s="897">
        <f>'Численность 2016'!AB20</f>
        <v>0</v>
      </c>
      <c r="AG9" s="142">
        <f t="shared" si="33"/>
        <v>0</v>
      </c>
      <c r="AH9" s="1006">
        <f t="shared" si="9"/>
        <v>54161.08</v>
      </c>
      <c r="AI9" s="897">
        <f>'Численность 2016'!AE20</f>
        <v>0</v>
      </c>
      <c r="AJ9" s="1006">
        <f t="shared" si="10"/>
        <v>67273.070000000007</v>
      </c>
      <c r="AK9" s="897">
        <f>'Численность 2016'!AG20</f>
        <v>0</v>
      </c>
      <c r="AL9" s="1006">
        <f t="shared" si="11"/>
        <v>64113.51</v>
      </c>
      <c r="AM9" s="897">
        <f>'Численность 2016'!AI20</f>
        <v>0</v>
      </c>
      <c r="AN9" s="142">
        <f t="shared" si="34"/>
        <v>0</v>
      </c>
      <c r="AO9" s="1006">
        <f t="shared" si="12"/>
        <v>29360.82</v>
      </c>
      <c r="AP9" s="897">
        <f>'Численность 2016'!AL20</f>
        <v>0</v>
      </c>
      <c r="AQ9" s="1006">
        <f t="shared" si="13"/>
        <v>36645.26</v>
      </c>
      <c r="AR9" s="897">
        <f>'Численность 2016'!AN20</f>
        <v>0</v>
      </c>
      <c r="AS9" s="1006">
        <f t="shared" si="14"/>
        <v>34889.949999999997</v>
      </c>
      <c r="AT9" s="897">
        <f>'Численность 2016'!AP20</f>
        <v>0</v>
      </c>
      <c r="AU9" s="142">
        <f t="shared" si="35"/>
        <v>0</v>
      </c>
      <c r="AV9" s="1006">
        <f t="shared" si="15"/>
        <v>35718.379999999997</v>
      </c>
      <c r="AW9" s="897">
        <f>'Численность 2016'!AS20</f>
        <v>0</v>
      </c>
      <c r="AX9" s="142">
        <f t="shared" si="36"/>
        <v>0</v>
      </c>
      <c r="AY9" s="143">
        <f t="shared" si="37"/>
        <v>0</v>
      </c>
      <c r="AZ9" s="1008">
        <v>0</v>
      </c>
      <c r="BA9" s="1006">
        <f t="shared" si="16"/>
        <v>65258.22</v>
      </c>
      <c r="BB9" s="897">
        <f>'Численность 2016'!AX20</f>
        <v>0</v>
      </c>
      <c r="BC9" s="1006">
        <f t="shared" si="17"/>
        <v>81192.94</v>
      </c>
      <c r="BD9" s="897">
        <f>'Численность 2016'!AZ20</f>
        <v>0</v>
      </c>
      <c r="BE9" s="1006">
        <f t="shared" si="18"/>
        <v>77353.2</v>
      </c>
      <c r="BF9" s="897">
        <f>'Численность 2016'!BB20</f>
        <v>0</v>
      </c>
      <c r="BG9" s="142">
        <f t="shared" si="38"/>
        <v>0</v>
      </c>
      <c r="BH9" s="1006">
        <f t="shared" si="19"/>
        <v>77787.27</v>
      </c>
      <c r="BI9" s="897">
        <f>'Численность 2016'!BE20</f>
        <v>0</v>
      </c>
      <c r="BJ9" s="1006">
        <f t="shared" si="20"/>
        <v>96908.93</v>
      </c>
      <c r="BK9" s="897">
        <f>'Численность 2016'!BG20</f>
        <v>0</v>
      </c>
      <c r="BL9" s="142">
        <f t="shared" si="39"/>
        <v>0</v>
      </c>
      <c r="BM9" s="144">
        <f t="shared" si="40"/>
        <v>0</v>
      </c>
      <c r="BN9" s="1006">
        <f t="shared" si="21"/>
        <v>25708.01</v>
      </c>
      <c r="BO9" s="897">
        <f>'Численность 2016'!BK20</f>
        <v>0</v>
      </c>
      <c r="BP9" s="1006">
        <f t="shared" si="22"/>
        <v>27763.9</v>
      </c>
      <c r="BQ9" s="897">
        <f>'Численность 2016'!BM20</f>
        <v>0</v>
      </c>
      <c r="BR9" s="1006">
        <f t="shared" si="23"/>
        <v>23851.91</v>
      </c>
      <c r="BS9" s="897">
        <f>'Численность 2016'!BO20</f>
        <v>0</v>
      </c>
      <c r="BT9" s="144">
        <f t="shared" si="41"/>
        <v>0</v>
      </c>
      <c r="BU9" s="1006">
        <f t="shared" si="24"/>
        <v>42444.76</v>
      </c>
      <c r="BV9" s="897">
        <f>'Численность 2016'!BR20</f>
        <v>0</v>
      </c>
      <c r="BW9" s="1006">
        <f t="shared" si="25"/>
        <v>46158.78</v>
      </c>
      <c r="BX9" s="897">
        <f>'Численность 2016'!BT20</f>
        <v>0</v>
      </c>
      <c r="BY9" s="1006">
        <f t="shared" si="26"/>
        <v>39091.67</v>
      </c>
      <c r="BZ9" s="897">
        <f>'Численность 2016'!BV20</f>
        <v>0</v>
      </c>
      <c r="CA9" s="144">
        <f t="shared" si="42"/>
        <v>0</v>
      </c>
      <c r="CB9" s="146">
        <f t="shared" ref="CB9:CB35" si="48">ROUND((AY9*AZ9+BM9+BT9+CA9),2)</f>
        <v>0</v>
      </c>
      <c r="CC9" s="1007">
        <f>'старое не смотреть'!F39</f>
        <v>80407083.040000007</v>
      </c>
      <c r="CD9" s="999">
        <f t="shared" si="43"/>
        <v>80407083.040000007</v>
      </c>
      <c r="CE9" s="1000">
        <f t="shared" ref="CE9:CE35" si="49">CD9</f>
        <v>80407083.040000007</v>
      </c>
      <c r="CF9" s="1001">
        <v>80407081.379999995</v>
      </c>
      <c r="CG9" s="1002">
        <f t="shared" si="44"/>
        <v>1.6600000113248825</v>
      </c>
      <c r="CH9" s="1003"/>
      <c r="CI9" s="1004">
        <f t="shared" si="45"/>
        <v>0</v>
      </c>
      <c r="CJ9" s="1005">
        <f>'[1]Свод ФОТ 2016'!BY41</f>
        <v>2322516</v>
      </c>
      <c r="CK9" s="1004">
        <f t="shared" si="46"/>
        <v>2322516</v>
      </c>
      <c r="CL9" s="1004">
        <f t="shared" si="47"/>
        <v>78084567.040000007</v>
      </c>
      <c r="CM9" s="433">
        <v>80407083.040000007</v>
      </c>
      <c r="CO9" s="433"/>
    </row>
    <row r="10" spans="1:118" ht="16.5">
      <c r="A10" s="122" t="s">
        <v>396</v>
      </c>
      <c r="B10" s="992" t="s">
        <v>86</v>
      </c>
      <c r="C10" s="993">
        <f t="shared" si="27"/>
        <v>-16</v>
      </c>
      <c r="D10" s="732">
        <v>574</v>
      </c>
      <c r="E10" s="994">
        <f t="shared" si="28"/>
        <v>558</v>
      </c>
      <c r="F10" s="995">
        <f>'[1]ФОТ 2016 29.02.16'!C46</f>
        <v>79</v>
      </c>
      <c r="G10" s="995">
        <f t="shared" si="29"/>
        <v>479</v>
      </c>
      <c r="H10" s="1006">
        <f t="shared" si="0"/>
        <v>31250.82</v>
      </c>
      <c r="I10" s="897">
        <f>'Численность 2016'!E23</f>
        <v>178</v>
      </c>
      <c r="J10" s="1006">
        <f t="shared" si="0"/>
        <v>38535.26</v>
      </c>
      <c r="K10" s="897">
        <f>'Численность 2016'!G23</f>
        <v>251</v>
      </c>
      <c r="L10" s="1006">
        <f t="shared" si="0"/>
        <v>36779.949999999997</v>
      </c>
      <c r="M10" s="897">
        <f>'Численность 2016'!I23</f>
        <v>40</v>
      </c>
      <c r="N10" s="142">
        <f t="shared" si="30"/>
        <v>16706194.220000001</v>
      </c>
      <c r="O10" s="1006">
        <f t="shared" si="1"/>
        <v>35546.49</v>
      </c>
      <c r="P10" s="897">
        <f>'Численность 2016'!L23</f>
        <v>0</v>
      </c>
      <c r="Q10" s="1006">
        <f t="shared" si="2"/>
        <v>43923.6</v>
      </c>
      <c r="R10" s="897">
        <f>'Численность 2016'!N23</f>
        <v>0</v>
      </c>
      <c r="S10" s="1006">
        <f t="shared" si="3"/>
        <v>41904.99</v>
      </c>
      <c r="T10" s="897">
        <f>'Численность 2016'!P23</f>
        <v>0</v>
      </c>
      <c r="U10" s="142">
        <f t="shared" si="31"/>
        <v>0</v>
      </c>
      <c r="V10" s="1006">
        <f t="shared" si="4"/>
        <v>41274.050000000003</v>
      </c>
      <c r="W10" s="897">
        <f>'Численность 2016'!S23</f>
        <v>0</v>
      </c>
      <c r="X10" s="1006">
        <f t="shared" si="5"/>
        <v>51108.05</v>
      </c>
      <c r="Y10" s="897">
        <f>'Численность 2016'!U23</f>
        <v>0</v>
      </c>
      <c r="Z10" s="1006">
        <f t="shared" si="6"/>
        <v>48738.38</v>
      </c>
      <c r="AA10" s="897">
        <f>'Численность 2016'!W23</f>
        <v>0</v>
      </c>
      <c r="AB10" s="142">
        <f t="shared" si="32"/>
        <v>0</v>
      </c>
      <c r="AC10" s="1006">
        <f t="shared" si="7"/>
        <v>45569.73</v>
      </c>
      <c r="AD10" s="897">
        <f>'Численность 2016'!Z23</f>
        <v>0</v>
      </c>
      <c r="AE10" s="1006">
        <f t="shared" si="8"/>
        <v>56496.39</v>
      </c>
      <c r="AF10" s="897">
        <f>'Численность 2016'!AB23</f>
        <v>0</v>
      </c>
      <c r="AG10" s="142">
        <f t="shared" si="33"/>
        <v>0</v>
      </c>
      <c r="AH10" s="1006">
        <f t="shared" si="9"/>
        <v>54161.08</v>
      </c>
      <c r="AI10" s="897">
        <f>'Численность 2016'!AE23</f>
        <v>0</v>
      </c>
      <c r="AJ10" s="1006">
        <f t="shared" si="10"/>
        <v>67273.070000000007</v>
      </c>
      <c r="AK10" s="897">
        <f>'Численность 2016'!AG23</f>
        <v>10</v>
      </c>
      <c r="AL10" s="1006">
        <f t="shared" si="11"/>
        <v>64113.51</v>
      </c>
      <c r="AM10" s="897">
        <f>'Численность 2016'!AI23</f>
        <v>0</v>
      </c>
      <c r="AN10" s="142">
        <f t="shared" si="34"/>
        <v>672730.7</v>
      </c>
      <c r="AO10" s="1006">
        <f t="shared" si="12"/>
        <v>29360.82</v>
      </c>
      <c r="AP10" s="897">
        <f>'Численность 2016'!AL23</f>
        <v>0</v>
      </c>
      <c r="AQ10" s="1006">
        <f t="shared" si="13"/>
        <v>36645.26</v>
      </c>
      <c r="AR10" s="897">
        <f>'Численность 2016'!AN23</f>
        <v>0</v>
      </c>
      <c r="AS10" s="1006">
        <f t="shared" si="14"/>
        <v>34889.949999999997</v>
      </c>
      <c r="AT10" s="897">
        <f>'Численность 2016'!AP23</f>
        <v>0</v>
      </c>
      <c r="AU10" s="142">
        <f t="shared" si="35"/>
        <v>0</v>
      </c>
      <c r="AV10" s="1006">
        <f t="shared" si="15"/>
        <v>35718.379999999997</v>
      </c>
      <c r="AW10" s="897">
        <f>'Численность 2016'!AS23</f>
        <v>0</v>
      </c>
      <c r="AX10" s="142">
        <f t="shared" si="36"/>
        <v>0</v>
      </c>
      <c r="AY10" s="143">
        <f t="shared" si="37"/>
        <v>17378924.920000002</v>
      </c>
      <c r="AZ10" s="997">
        <f>'Численность 2016'!AV21</f>
        <v>1.167</v>
      </c>
      <c r="BA10" s="1006">
        <f t="shared" si="16"/>
        <v>65258.22</v>
      </c>
      <c r="BB10" s="897">
        <f>'Численность 2016'!AX23</f>
        <v>0</v>
      </c>
      <c r="BC10" s="1006">
        <f t="shared" si="17"/>
        <v>81192.94</v>
      </c>
      <c r="BD10" s="897">
        <f>'Численность 2016'!AZ23</f>
        <v>0</v>
      </c>
      <c r="BE10" s="1006">
        <f t="shared" si="18"/>
        <v>77353.2</v>
      </c>
      <c r="BF10" s="897">
        <f>'Численность 2016'!BB23</f>
        <v>0</v>
      </c>
      <c r="BG10" s="142">
        <f t="shared" si="38"/>
        <v>0</v>
      </c>
      <c r="BH10" s="1006">
        <f t="shared" si="19"/>
        <v>77787.27</v>
      </c>
      <c r="BI10" s="897">
        <f>'Численность 2016'!BE23</f>
        <v>0</v>
      </c>
      <c r="BJ10" s="1006">
        <f t="shared" si="20"/>
        <v>96908.93</v>
      </c>
      <c r="BK10" s="897">
        <f>'Численность 2016'!BG23</f>
        <v>0</v>
      </c>
      <c r="BL10" s="142">
        <f t="shared" si="39"/>
        <v>0</v>
      </c>
      <c r="BM10" s="144">
        <f t="shared" si="40"/>
        <v>0</v>
      </c>
      <c r="BN10" s="1006">
        <f t="shared" si="21"/>
        <v>25708.01</v>
      </c>
      <c r="BO10" s="897">
        <f>'Численность 2016'!BK23</f>
        <v>0</v>
      </c>
      <c r="BP10" s="1006">
        <f t="shared" si="22"/>
        <v>27763.9</v>
      </c>
      <c r="BQ10" s="897">
        <f>'Численность 2016'!BM23</f>
        <v>0</v>
      </c>
      <c r="BR10" s="1006">
        <f t="shared" si="23"/>
        <v>23851.91</v>
      </c>
      <c r="BS10" s="897">
        <f>'Численность 2016'!BO23</f>
        <v>0</v>
      </c>
      <c r="BT10" s="144">
        <f t="shared" si="41"/>
        <v>0</v>
      </c>
      <c r="BU10" s="1006">
        <f t="shared" si="24"/>
        <v>42444.76</v>
      </c>
      <c r="BV10" s="897">
        <f>'Численность 2016'!BR23</f>
        <v>0</v>
      </c>
      <c r="BW10" s="1006">
        <f t="shared" si="25"/>
        <v>46158.78</v>
      </c>
      <c r="BX10" s="897">
        <f>'Численность 2016'!BT23</f>
        <v>0</v>
      </c>
      <c r="BY10" s="1006">
        <f t="shared" si="26"/>
        <v>39091.67</v>
      </c>
      <c r="BZ10" s="897">
        <f>'Численность 2016'!BV23</f>
        <v>0</v>
      </c>
      <c r="CA10" s="144">
        <f t="shared" si="42"/>
        <v>0</v>
      </c>
      <c r="CB10" s="146">
        <f t="shared" si="48"/>
        <v>20281205.379999999</v>
      </c>
      <c r="CC10" s="1007">
        <f>'старое не смотреть'!F49</f>
        <v>12365219.810000001</v>
      </c>
      <c r="CD10" s="999">
        <f t="shared" si="43"/>
        <v>32646425.189999998</v>
      </c>
      <c r="CE10" s="1000">
        <f t="shared" si="49"/>
        <v>32646425.189999998</v>
      </c>
      <c r="CF10" s="1001">
        <v>33131546.379999999</v>
      </c>
      <c r="CG10" s="1002">
        <f t="shared" si="44"/>
        <v>-485121.19000000134</v>
      </c>
      <c r="CH10" s="1003"/>
      <c r="CI10" s="1004">
        <f t="shared" si="45"/>
        <v>1251627</v>
      </c>
      <c r="CJ10" s="1005">
        <f>'[1]Свод ФОТ 2016'!BY50</f>
        <v>275660.37</v>
      </c>
      <c r="CK10" s="1004">
        <f t="shared" si="46"/>
        <v>1527287.37</v>
      </c>
      <c r="CL10" s="1004">
        <f t="shared" si="47"/>
        <v>31119137.819999997</v>
      </c>
      <c r="CM10" s="433">
        <v>32646425.189999998</v>
      </c>
      <c r="CO10" s="897"/>
    </row>
    <row r="11" spans="1:118" ht="16.5">
      <c r="A11" s="122" t="s">
        <v>398</v>
      </c>
      <c r="B11" s="992" t="s">
        <v>89</v>
      </c>
      <c r="C11" s="993">
        <f t="shared" si="27"/>
        <v>-38</v>
      </c>
      <c r="D11" s="732">
        <v>2188</v>
      </c>
      <c r="E11" s="994">
        <f t="shared" si="28"/>
        <v>2150</v>
      </c>
      <c r="F11" s="995">
        <f>'[1]ФОТ 2016 29.02.16'!C61</f>
        <v>1160</v>
      </c>
      <c r="G11" s="995">
        <f t="shared" si="29"/>
        <v>990</v>
      </c>
      <c r="H11" s="1006">
        <f t="shared" si="0"/>
        <v>31250.82</v>
      </c>
      <c r="I11" s="897">
        <f>'Численность 2016'!E37</f>
        <v>402</v>
      </c>
      <c r="J11" s="1006">
        <f t="shared" si="0"/>
        <v>38535.26</v>
      </c>
      <c r="K11" s="897">
        <f>'Численность 2016'!G37</f>
        <v>475</v>
      </c>
      <c r="L11" s="1006">
        <f t="shared" si="0"/>
        <v>36779.949999999997</v>
      </c>
      <c r="M11" s="897">
        <f>'Численность 2016'!I37</f>
        <v>88</v>
      </c>
      <c r="N11" s="142">
        <f t="shared" si="30"/>
        <v>34103713.740000002</v>
      </c>
      <c r="O11" s="1006">
        <f t="shared" si="1"/>
        <v>35546.49</v>
      </c>
      <c r="P11" s="897">
        <f>'Численность 2016'!L37</f>
        <v>0</v>
      </c>
      <c r="Q11" s="1006">
        <f t="shared" si="2"/>
        <v>43923.6</v>
      </c>
      <c r="R11" s="897">
        <f>'Численность 2016'!N37</f>
        <v>0</v>
      </c>
      <c r="S11" s="1006">
        <f t="shared" si="3"/>
        <v>41904.99</v>
      </c>
      <c r="T11" s="897">
        <f>'Численность 2016'!P37</f>
        <v>0</v>
      </c>
      <c r="U11" s="142">
        <f t="shared" si="31"/>
        <v>0</v>
      </c>
      <c r="V11" s="1006">
        <f t="shared" si="4"/>
        <v>41274.050000000003</v>
      </c>
      <c r="W11" s="897">
        <f>'Численность 2016'!S37</f>
        <v>0</v>
      </c>
      <c r="X11" s="1006">
        <f t="shared" si="5"/>
        <v>51108.05</v>
      </c>
      <c r="Y11" s="897">
        <f>'Численность 2016'!U37</f>
        <v>0</v>
      </c>
      <c r="Z11" s="1006">
        <f t="shared" si="6"/>
        <v>48738.38</v>
      </c>
      <c r="AA11" s="897">
        <f>'Численность 2016'!W37</f>
        <v>0</v>
      </c>
      <c r="AB11" s="142">
        <f t="shared" si="32"/>
        <v>0</v>
      </c>
      <c r="AC11" s="1006">
        <f t="shared" si="7"/>
        <v>45569.73</v>
      </c>
      <c r="AD11" s="897">
        <f>'Численность 2016'!Z37</f>
        <v>0</v>
      </c>
      <c r="AE11" s="1006">
        <f t="shared" si="8"/>
        <v>56496.39</v>
      </c>
      <c r="AF11" s="897">
        <f>'Численность 2016'!AB37</f>
        <v>0</v>
      </c>
      <c r="AG11" s="142">
        <f t="shared" si="33"/>
        <v>0</v>
      </c>
      <c r="AH11" s="1006">
        <f t="shared" si="9"/>
        <v>54161.08</v>
      </c>
      <c r="AI11" s="897">
        <f>'Численность 2016'!AE37</f>
        <v>2</v>
      </c>
      <c r="AJ11" s="1006">
        <f t="shared" si="10"/>
        <v>67273.070000000007</v>
      </c>
      <c r="AK11" s="897">
        <f>'Численность 2016'!AG37</f>
        <v>7</v>
      </c>
      <c r="AL11" s="1006">
        <f t="shared" si="11"/>
        <v>64113.51</v>
      </c>
      <c r="AM11" s="897">
        <f>'Численность 2016'!AI37</f>
        <v>1</v>
      </c>
      <c r="AN11" s="142">
        <f t="shared" si="34"/>
        <v>643347.16</v>
      </c>
      <c r="AO11" s="1006">
        <f t="shared" si="12"/>
        <v>29360.82</v>
      </c>
      <c r="AP11" s="897">
        <f>'Численность 2016'!AL37</f>
        <v>0</v>
      </c>
      <c r="AQ11" s="1006">
        <f t="shared" si="13"/>
        <v>36645.26</v>
      </c>
      <c r="AR11" s="897">
        <f>'Численность 2016'!AN37</f>
        <v>0</v>
      </c>
      <c r="AS11" s="1006">
        <f t="shared" si="14"/>
        <v>34889.949999999997</v>
      </c>
      <c r="AT11" s="897">
        <f>'Численность 2016'!AP37</f>
        <v>0</v>
      </c>
      <c r="AU11" s="142">
        <f t="shared" si="35"/>
        <v>0</v>
      </c>
      <c r="AV11" s="1006">
        <f t="shared" si="15"/>
        <v>35718.379999999997</v>
      </c>
      <c r="AW11" s="897">
        <f>'Численность 2016'!AS37</f>
        <v>15</v>
      </c>
      <c r="AX11" s="142">
        <f t="shared" si="36"/>
        <v>535775.69999999995</v>
      </c>
      <c r="AY11" s="143">
        <f t="shared" si="37"/>
        <v>35282836.600000001</v>
      </c>
      <c r="AZ11" s="997">
        <f>'Численность 2016'!AV24</f>
        <v>1.6040000000000001</v>
      </c>
      <c r="BA11" s="1006">
        <f t="shared" si="16"/>
        <v>65258.22</v>
      </c>
      <c r="BB11" s="897">
        <f>'Численность 2016'!AX37</f>
        <v>0</v>
      </c>
      <c r="BC11" s="1006">
        <f t="shared" si="17"/>
        <v>81192.94</v>
      </c>
      <c r="BD11" s="897">
        <f>'Численность 2016'!AZ37</f>
        <v>0</v>
      </c>
      <c r="BE11" s="1006">
        <f t="shared" si="18"/>
        <v>77353.2</v>
      </c>
      <c r="BF11" s="897">
        <f>'Численность 2016'!BB37</f>
        <v>0</v>
      </c>
      <c r="BG11" s="142">
        <f t="shared" si="38"/>
        <v>0</v>
      </c>
      <c r="BH11" s="1006">
        <f t="shared" si="19"/>
        <v>77787.27</v>
      </c>
      <c r="BI11" s="897">
        <f>'Численность 2016'!BE37</f>
        <v>0</v>
      </c>
      <c r="BJ11" s="1006">
        <f t="shared" si="20"/>
        <v>96908.93</v>
      </c>
      <c r="BK11" s="897">
        <f>'Численность 2016'!BG37</f>
        <v>0</v>
      </c>
      <c r="BL11" s="142">
        <f t="shared" si="39"/>
        <v>0</v>
      </c>
      <c r="BM11" s="144">
        <f t="shared" si="40"/>
        <v>0</v>
      </c>
      <c r="BN11" s="1006">
        <f t="shared" si="21"/>
        <v>25708.01</v>
      </c>
      <c r="BO11" s="897">
        <f>'Численность 2016'!BK37</f>
        <v>0</v>
      </c>
      <c r="BP11" s="1006">
        <f t="shared" si="22"/>
        <v>27763.9</v>
      </c>
      <c r="BQ11" s="897">
        <f>'Численность 2016'!BM37</f>
        <v>0</v>
      </c>
      <c r="BR11" s="1006">
        <f t="shared" si="23"/>
        <v>23851.91</v>
      </c>
      <c r="BS11" s="897">
        <f>'Численность 2016'!BO37</f>
        <v>0</v>
      </c>
      <c r="BT11" s="144">
        <f t="shared" si="41"/>
        <v>0</v>
      </c>
      <c r="BU11" s="1006">
        <f t="shared" si="24"/>
        <v>42444.76</v>
      </c>
      <c r="BV11" s="897">
        <f>'Численность 2016'!BR37</f>
        <v>0</v>
      </c>
      <c r="BW11" s="1006">
        <f t="shared" si="25"/>
        <v>46158.78</v>
      </c>
      <c r="BX11" s="897">
        <f>'Численность 2016'!BT37</f>
        <v>0</v>
      </c>
      <c r="BY11" s="1006">
        <f t="shared" si="26"/>
        <v>39091.67</v>
      </c>
      <c r="BZ11" s="897">
        <f>'Численность 2016'!BV37</f>
        <v>0</v>
      </c>
      <c r="CA11" s="144">
        <f t="shared" si="42"/>
        <v>0</v>
      </c>
      <c r="CB11" s="146">
        <f t="shared" si="48"/>
        <v>56593669.909999996</v>
      </c>
      <c r="CC11" s="1007">
        <f>'старое не смотреть'!F64</f>
        <v>98226579.670000002</v>
      </c>
      <c r="CD11" s="999">
        <f t="shared" si="43"/>
        <v>154820249.57999998</v>
      </c>
      <c r="CE11" s="1000">
        <f t="shared" si="49"/>
        <v>154820249.57999998</v>
      </c>
      <c r="CF11" s="1001">
        <v>155138380.81</v>
      </c>
      <c r="CG11" s="1002">
        <f t="shared" si="44"/>
        <v>-318131.23000001907</v>
      </c>
      <c r="CH11" s="1003"/>
      <c r="CI11" s="1004">
        <f t="shared" si="45"/>
        <v>2567970</v>
      </c>
      <c r="CJ11" s="1005">
        <f>'[1]Свод ФОТ 2016'!BY64</f>
        <v>2991240</v>
      </c>
      <c r="CK11" s="1004">
        <f t="shared" si="46"/>
        <v>5559210</v>
      </c>
      <c r="CL11" s="1004">
        <f t="shared" si="47"/>
        <v>149261039.57999998</v>
      </c>
      <c r="CM11" s="433">
        <v>154820249.57999998</v>
      </c>
      <c r="CO11" s="433"/>
    </row>
    <row r="12" spans="1:118" s="1011" customFormat="1" ht="16.5">
      <c r="A12" s="122" t="s">
        <v>399</v>
      </c>
      <c r="B12" s="992" t="s">
        <v>90</v>
      </c>
      <c r="C12" s="1010">
        <f t="shared" si="27"/>
        <v>191</v>
      </c>
      <c r="D12" s="732">
        <v>2353</v>
      </c>
      <c r="E12" s="994">
        <f t="shared" si="28"/>
        <v>2544</v>
      </c>
      <c r="F12" s="995">
        <f>'[1]ФОТ 2016 29.02.16'!C75</f>
        <v>695</v>
      </c>
      <c r="G12" s="995">
        <f t="shared" si="29"/>
        <v>1849</v>
      </c>
      <c r="H12" s="1006">
        <f t="shared" si="0"/>
        <v>31250.82</v>
      </c>
      <c r="I12" s="897">
        <f>'Численность 2016'!E47</f>
        <v>674</v>
      </c>
      <c r="J12" s="1006">
        <f t="shared" si="0"/>
        <v>38535.26</v>
      </c>
      <c r="K12" s="897">
        <f>'Численность 2016'!G47</f>
        <v>778</v>
      </c>
      <c r="L12" s="1006">
        <f t="shared" si="0"/>
        <v>36779.949999999997</v>
      </c>
      <c r="M12" s="897">
        <f>'Численность 2016'!I47</f>
        <v>153</v>
      </c>
      <c r="N12" s="142">
        <f t="shared" si="30"/>
        <v>56670817.310000002</v>
      </c>
      <c r="O12" s="1006">
        <f t="shared" si="1"/>
        <v>35546.49</v>
      </c>
      <c r="P12" s="897">
        <f>'Численность 2016'!L47</f>
        <v>0</v>
      </c>
      <c r="Q12" s="1006">
        <f t="shared" si="2"/>
        <v>43923.6</v>
      </c>
      <c r="R12" s="897">
        <f>'Численность 2016'!N47</f>
        <v>0</v>
      </c>
      <c r="S12" s="1006">
        <f t="shared" si="3"/>
        <v>41904.99</v>
      </c>
      <c r="T12" s="897">
        <f>'Численность 2016'!P47</f>
        <v>0</v>
      </c>
      <c r="U12" s="142">
        <f t="shared" si="31"/>
        <v>0</v>
      </c>
      <c r="V12" s="1006">
        <f t="shared" si="4"/>
        <v>41274.050000000003</v>
      </c>
      <c r="W12" s="897">
        <f>'Численность 2016'!S47</f>
        <v>0</v>
      </c>
      <c r="X12" s="1006">
        <f t="shared" si="5"/>
        <v>51108.05</v>
      </c>
      <c r="Y12" s="897">
        <f>'Численность 2016'!U47</f>
        <v>0</v>
      </c>
      <c r="Z12" s="1006">
        <f t="shared" si="6"/>
        <v>48738.38</v>
      </c>
      <c r="AA12" s="897">
        <f>'Численность 2016'!W47</f>
        <v>0</v>
      </c>
      <c r="AB12" s="142">
        <f t="shared" si="32"/>
        <v>0</v>
      </c>
      <c r="AC12" s="1006">
        <f t="shared" si="7"/>
        <v>45569.73</v>
      </c>
      <c r="AD12" s="897">
        <f>'Численность 2016'!Z47</f>
        <v>0</v>
      </c>
      <c r="AE12" s="1006">
        <f t="shared" si="8"/>
        <v>56496.39</v>
      </c>
      <c r="AF12" s="897">
        <f>'Численность 2016'!AB47</f>
        <v>0</v>
      </c>
      <c r="AG12" s="142">
        <f t="shared" si="33"/>
        <v>0</v>
      </c>
      <c r="AH12" s="1006">
        <f t="shared" si="9"/>
        <v>54161.08</v>
      </c>
      <c r="AI12" s="897">
        <f>'Численность 2016'!AE47</f>
        <v>16</v>
      </c>
      <c r="AJ12" s="1006">
        <f t="shared" si="10"/>
        <v>67273.070000000007</v>
      </c>
      <c r="AK12" s="897">
        <f>'Численность 2016'!AG47</f>
        <v>19</v>
      </c>
      <c r="AL12" s="1006">
        <f t="shared" si="11"/>
        <v>64113.51</v>
      </c>
      <c r="AM12" s="897">
        <f>'Численность 2016'!AI47</f>
        <v>0</v>
      </c>
      <c r="AN12" s="142">
        <f t="shared" si="34"/>
        <v>2144765.61</v>
      </c>
      <c r="AO12" s="1006">
        <f t="shared" si="12"/>
        <v>29360.82</v>
      </c>
      <c r="AP12" s="897">
        <f>'Численность 2016'!AL47</f>
        <v>0</v>
      </c>
      <c r="AQ12" s="1006">
        <f t="shared" si="13"/>
        <v>36645.26</v>
      </c>
      <c r="AR12" s="897">
        <f>'Численность 2016'!AN47</f>
        <v>0</v>
      </c>
      <c r="AS12" s="1006">
        <f t="shared" si="14"/>
        <v>34889.949999999997</v>
      </c>
      <c r="AT12" s="897">
        <f>'Численность 2016'!AP47</f>
        <v>0</v>
      </c>
      <c r="AU12" s="142">
        <f t="shared" si="35"/>
        <v>0</v>
      </c>
      <c r="AV12" s="1006">
        <f t="shared" si="15"/>
        <v>35718.379999999997</v>
      </c>
      <c r="AW12" s="897">
        <f>'Численность 2016'!AS47</f>
        <v>209</v>
      </c>
      <c r="AX12" s="142">
        <f t="shared" si="36"/>
        <v>7465141.4199999999</v>
      </c>
      <c r="AY12" s="143">
        <f t="shared" si="37"/>
        <v>66280724.340000004</v>
      </c>
      <c r="AZ12" s="997">
        <f>'Численность 2016'!AV38</f>
        <v>1.266</v>
      </c>
      <c r="BA12" s="1006">
        <f t="shared" si="16"/>
        <v>65258.22</v>
      </c>
      <c r="BB12" s="897">
        <f>'Численность 2016'!AX47</f>
        <v>0</v>
      </c>
      <c r="BC12" s="1006">
        <f t="shared" si="17"/>
        <v>81192.94</v>
      </c>
      <c r="BD12" s="897">
        <f>'Численность 2016'!AZ47</f>
        <v>0</v>
      </c>
      <c r="BE12" s="1006">
        <f t="shared" si="18"/>
        <v>77353.2</v>
      </c>
      <c r="BF12" s="897">
        <f>'Численность 2016'!BB47</f>
        <v>0</v>
      </c>
      <c r="BG12" s="142">
        <f t="shared" si="38"/>
        <v>0</v>
      </c>
      <c r="BH12" s="1006">
        <f t="shared" si="19"/>
        <v>77787.27</v>
      </c>
      <c r="BI12" s="897">
        <f>'Численность 2016'!BE47</f>
        <v>0</v>
      </c>
      <c r="BJ12" s="1006">
        <f t="shared" si="20"/>
        <v>96908.93</v>
      </c>
      <c r="BK12" s="897">
        <f>'Численность 2016'!BG47</f>
        <v>0</v>
      </c>
      <c r="BL12" s="142">
        <f t="shared" si="39"/>
        <v>0</v>
      </c>
      <c r="BM12" s="144">
        <f t="shared" si="40"/>
        <v>0</v>
      </c>
      <c r="BN12" s="1006">
        <f t="shared" si="21"/>
        <v>25708.01</v>
      </c>
      <c r="BO12" s="897">
        <f>'Численность 2016'!BK47</f>
        <v>0</v>
      </c>
      <c r="BP12" s="1006">
        <f t="shared" si="22"/>
        <v>27763.9</v>
      </c>
      <c r="BQ12" s="897">
        <f>'Численность 2016'!BM47</f>
        <v>0</v>
      </c>
      <c r="BR12" s="1006">
        <f t="shared" si="23"/>
        <v>23851.91</v>
      </c>
      <c r="BS12" s="897">
        <f>'Численность 2016'!BO47</f>
        <v>0</v>
      </c>
      <c r="BT12" s="144">
        <f t="shared" si="41"/>
        <v>0</v>
      </c>
      <c r="BU12" s="1006">
        <f t="shared" si="24"/>
        <v>42444.76</v>
      </c>
      <c r="BV12" s="897">
        <f>'Численность 2016'!BR47</f>
        <v>0</v>
      </c>
      <c r="BW12" s="1006">
        <f t="shared" si="25"/>
        <v>46158.78</v>
      </c>
      <c r="BX12" s="897">
        <f>'Численность 2016'!BT47</f>
        <v>0</v>
      </c>
      <c r="BY12" s="1006">
        <f t="shared" si="26"/>
        <v>39091.67</v>
      </c>
      <c r="BZ12" s="897">
        <f>'Численность 2016'!BV47</f>
        <v>0</v>
      </c>
      <c r="CA12" s="144">
        <f t="shared" si="42"/>
        <v>0</v>
      </c>
      <c r="CB12" s="146">
        <f t="shared" si="48"/>
        <v>83911397.010000005</v>
      </c>
      <c r="CC12" s="1007">
        <f>'старое не смотреть'!F78</f>
        <v>52332973.649999999</v>
      </c>
      <c r="CD12" s="999">
        <f t="shared" si="43"/>
        <v>136244370.66</v>
      </c>
      <c r="CE12" s="1000">
        <f t="shared" si="49"/>
        <v>136244370.66</v>
      </c>
      <c r="CF12" s="1001">
        <v>136244368.30000001</v>
      </c>
      <c r="CG12" s="1002">
        <f t="shared" si="44"/>
        <v>2.3599999845027924</v>
      </c>
      <c r="CH12" s="1003"/>
      <c r="CI12" s="1004">
        <f t="shared" si="45"/>
        <v>4568097</v>
      </c>
      <c r="CJ12" s="1005">
        <f>'[1]Свод ФОТ 2016'!BY77</f>
        <v>1608301.5</v>
      </c>
      <c r="CK12" s="1004">
        <f t="shared" si="46"/>
        <v>6176398.5</v>
      </c>
      <c r="CL12" s="1004">
        <f t="shared" si="47"/>
        <v>130067972.16</v>
      </c>
      <c r="CM12" s="433">
        <v>136244370.66</v>
      </c>
      <c r="CO12" s="1197">
        <v>2300000</v>
      </c>
      <c r="CP12" s="1193" t="s">
        <v>821</v>
      </c>
    </row>
    <row r="13" spans="1:118" ht="16.5">
      <c r="A13" s="122" t="s">
        <v>400</v>
      </c>
      <c r="B13" s="992" t="s">
        <v>92</v>
      </c>
      <c r="C13" s="993">
        <f t="shared" si="27"/>
        <v>52</v>
      </c>
      <c r="D13" s="732">
        <v>1708</v>
      </c>
      <c r="E13" s="994">
        <f t="shared" si="28"/>
        <v>1760</v>
      </c>
      <c r="F13" s="995">
        <f>'[1]ФОТ 2016 29.02.16'!C90</f>
        <v>469</v>
      </c>
      <c r="G13" s="995">
        <f t="shared" si="29"/>
        <v>1291</v>
      </c>
      <c r="H13" s="1006">
        <f t="shared" si="0"/>
        <v>31250.82</v>
      </c>
      <c r="I13" s="897">
        <f>'Численность 2016'!E57</f>
        <v>514</v>
      </c>
      <c r="J13" s="1006">
        <f t="shared" si="0"/>
        <v>38535.26</v>
      </c>
      <c r="K13" s="897">
        <f>'Численность 2016'!G57</f>
        <v>523</v>
      </c>
      <c r="L13" s="1006">
        <f t="shared" si="0"/>
        <v>36779.949999999997</v>
      </c>
      <c r="M13" s="897">
        <f>'Численность 2016'!I57</f>
        <v>150</v>
      </c>
      <c r="N13" s="142">
        <f t="shared" si="30"/>
        <v>41733854.960000001</v>
      </c>
      <c r="O13" s="1006">
        <f t="shared" si="1"/>
        <v>35546.49</v>
      </c>
      <c r="P13" s="897">
        <f>'Численность 2016'!L57</f>
        <v>0</v>
      </c>
      <c r="Q13" s="1006">
        <f t="shared" si="2"/>
        <v>43923.6</v>
      </c>
      <c r="R13" s="897">
        <f>'Численность 2016'!N57</f>
        <v>0</v>
      </c>
      <c r="S13" s="1006">
        <f t="shared" si="3"/>
        <v>41904.99</v>
      </c>
      <c r="T13" s="897">
        <f>'Численность 2016'!P57</f>
        <v>0</v>
      </c>
      <c r="U13" s="142">
        <f t="shared" si="31"/>
        <v>0</v>
      </c>
      <c r="V13" s="1006">
        <f t="shared" si="4"/>
        <v>41274.050000000003</v>
      </c>
      <c r="W13" s="897">
        <f>'Численность 2016'!S57</f>
        <v>0</v>
      </c>
      <c r="X13" s="1006">
        <f t="shared" si="5"/>
        <v>51108.05</v>
      </c>
      <c r="Y13" s="897">
        <f>'Численность 2016'!U57</f>
        <v>0</v>
      </c>
      <c r="Z13" s="1006">
        <f t="shared" si="6"/>
        <v>48738.38</v>
      </c>
      <c r="AA13" s="897">
        <f>'Численность 2016'!W57</f>
        <v>0</v>
      </c>
      <c r="AB13" s="142">
        <f t="shared" si="32"/>
        <v>0</v>
      </c>
      <c r="AC13" s="1006">
        <f t="shared" si="7"/>
        <v>45569.73</v>
      </c>
      <c r="AD13" s="897">
        <f>'Численность 2016'!Z57</f>
        <v>0</v>
      </c>
      <c r="AE13" s="1006">
        <f t="shared" si="8"/>
        <v>56496.39</v>
      </c>
      <c r="AF13" s="897">
        <f>'Численность 2016'!AB57</f>
        <v>0</v>
      </c>
      <c r="AG13" s="142">
        <f t="shared" si="33"/>
        <v>0</v>
      </c>
      <c r="AH13" s="1006">
        <f t="shared" si="9"/>
        <v>54161.08</v>
      </c>
      <c r="AI13" s="897">
        <f>'Численность 2016'!AE57</f>
        <v>23</v>
      </c>
      <c r="AJ13" s="1006">
        <f t="shared" si="10"/>
        <v>67273.070000000007</v>
      </c>
      <c r="AK13" s="897">
        <f>'Численность 2016'!AG57</f>
        <v>39</v>
      </c>
      <c r="AL13" s="1006">
        <f t="shared" si="11"/>
        <v>64113.51</v>
      </c>
      <c r="AM13" s="897">
        <f>'Численность 2016'!AI57</f>
        <v>0</v>
      </c>
      <c r="AN13" s="142">
        <f t="shared" si="34"/>
        <v>3869354.57</v>
      </c>
      <c r="AO13" s="1006">
        <f t="shared" si="12"/>
        <v>29360.82</v>
      </c>
      <c r="AP13" s="897">
        <f>'Численность 2016'!AL57</f>
        <v>0</v>
      </c>
      <c r="AQ13" s="1006">
        <f t="shared" si="13"/>
        <v>36645.26</v>
      </c>
      <c r="AR13" s="897">
        <f>'Численность 2016'!AN57</f>
        <v>0</v>
      </c>
      <c r="AS13" s="1006">
        <f t="shared" si="14"/>
        <v>34889.949999999997</v>
      </c>
      <c r="AT13" s="897">
        <f>'Численность 2016'!AP57</f>
        <v>0</v>
      </c>
      <c r="AU13" s="142">
        <f t="shared" si="35"/>
        <v>0</v>
      </c>
      <c r="AV13" s="1006">
        <f t="shared" si="15"/>
        <v>35718.379999999997</v>
      </c>
      <c r="AW13" s="897">
        <f>'Численность 2016'!AS57</f>
        <v>42</v>
      </c>
      <c r="AX13" s="142">
        <f t="shared" si="36"/>
        <v>1500171.96</v>
      </c>
      <c r="AY13" s="143">
        <f t="shared" si="37"/>
        <v>47103381.490000002</v>
      </c>
      <c r="AZ13" s="1012">
        <f>'Численность 2016'!AV48</f>
        <v>1.1299999999999999</v>
      </c>
      <c r="BA13" s="1006">
        <f t="shared" si="16"/>
        <v>65258.22</v>
      </c>
      <c r="BB13" s="897">
        <f>'Численность 2016'!AX57</f>
        <v>0</v>
      </c>
      <c r="BC13" s="1006">
        <f t="shared" si="17"/>
        <v>81192.94</v>
      </c>
      <c r="BD13" s="897">
        <f>'Численность 2016'!AZ57</f>
        <v>0</v>
      </c>
      <c r="BE13" s="1006">
        <f t="shared" si="18"/>
        <v>77353.2</v>
      </c>
      <c r="BF13" s="897">
        <f>'Численность 2016'!BB57</f>
        <v>0</v>
      </c>
      <c r="BG13" s="142">
        <f t="shared" si="38"/>
        <v>0</v>
      </c>
      <c r="BH13" s="1006">
        <f t="shared" si="19"/>
        <v>77787.27</v>
      </c>
      <c r="BI13" s="897">
        <f>'Численность 2016'!BE57</f>
        <v>0</v>
      </c>
      <c r="BJ13" s="1006">
        <f t="shared" si="20"/>
        <v>96908.93</v>
      </c>
      <c r="BK13" s="897">
        <f>'Численность 2016'!BG57</f>
        <v>0</v>
      </c>
      <c r="BL13" s="142">
        <f t="shared" si="39"/>
        <v>0</v>
      </c>
      <c r="BM13" s="144">
        <f t="shared" si="40"/>
        <v>0</v>
      </c>
      <c r="BN13" s="1006">
        <f t="shared" si="21"/>
        <v>25708.01</v>
      </c>
      <c r="BO13" s="897">
        <f>'Численность 2016'!BK57</f>
        <v>0</v>
      </c>
      <c r="BP13" s="1006">
        <f t="shared" si="22"/>
        <v>27763.9</v>
      </c>
      <c r="BQ13" s="897">
        <f>'Численность 2016'!BM57</f>
        <v>0</v>
      </c>
      <c r="BR13" s="1006">
        <f t="shared" si="23"/>
        <v>23851.91</v>
      </c>
      <c r="BS13" s="897">
        <f>'Численность 2016'!BO57</f>
        <v>0</v>
      </c>
      <c r="BT13" s="144">
        <f t="shared" si="41"/>
        <v>0</v>
      </c>
      <c r="BU13" s="1006">
        <f t="shared" si="24"/>
        <v>42444.76</v>
      </c>
      <c r="BV13" s="897">
        <f>'Численность 2016'!BR57</f>
        <v>0</v>
      </c>
      <c r="BW13" s="1006">
        <f t="shared" si="25"/>
        <v>46158.78</v>
      </c>
      <c r="BX13" s="897">
        <f>'Численность 2016'!BT57</f>
        <v>0</v>
      </c>
      <c r="BY13" s="1006">
        <f t="shared" si="26"/>
        <v>39091.67</v>
      </c>
      <c r="BZ13" s="897">
        <f>'Численность 2016'!BV57</f>
        <v>0</v>
      </c>
      <c r="CA13" s="144">
        <f t="shared" si="42"/>
        <v>0</v>
      </c>
      <c r="CB13" s="146">
        <f t="shared" si="48"/>
        <v>53226821.079999998</v>
      </c>
      <c r="CC13" s="1007">
        <f>'старое не смотреть'!F93</f>
        <v>57481492.730000004</v>
      </c>
      <c r="CD13" s="999">
        <f t="shared" si="43"/>
        <v>110708313.81</v>
      </c>
      <c r="CE13" s="1000">
        <f t="shared" si="49"/>
        <v>110708313.81</v>
      </c>
      <c r="CF13" s="1001">
        <v>110800355</v>
      </c>
      <c r="CG13" s="1002">
        <f t="shared" si="44"/>
        <v>-92041.189999997616</v>
      </c>
      <c r="CH13" s="1003"/>
      <c r="CI13" s="1004">
        <f t="shared" si="45"/>
        <v>3320463</v>
      </c>
      <c r="CJ13" s="1005">
        <f>'[1]Свод ФОТ 2016'!BY91</f>
        <v>1238562</v>
      </c>
      <c r="CK13" s="1004">
        <f t="shared" si="46"/>
        <v>4559025</v>
      </c>
      <c r="CL13" s="1004">
        <f t="shared" si="47"/>
        <v>106149288.81</v>
      </c>
      <c r="CM13" s="433">
        <v>110708313.81</v>
      </c>
      <c r="CO13" s="433"/>
    </row>
    <row r="14" spans="1:118" s="1011" customFormat="1" ht="16.5">
      <c r="A14" s="122" t="s">
        <v>767</v>
      </c>
      <c r="B14" s="992" t="s">
        <v>94</v>
      </c>
      <c r="C14" s="993">
        <f t="shared" si="27"/>
        <v>-1</v>
      </c>
      <c r="D14" s="732">
        <v>1250</v>
      </c>
      <c r="E14" s="994">
        <f t="shared" si="28"/>
        <v>1249</v>
      </c>
      <c r="F14" s="995">
        <f>'[1]ФОТ 2016 29.02.16'!C105</f>
        <v>691</v>
      </c>
      <c r="G14" s="995">
        <f t="shared" si="29"/>
        <v>558</v>
      </c>
      <c r="H14" s="1006">
        <f t="shared" si="0"/>
        <v>31250.82</v>
      </c>
      <c r="I14" s="897">
        <f>'Численность 2016'!E63</f>
        <v>250</v>
      </c>
      <c r="J14" s="1006">
        <f t="shared" si="0"/>
        <v>38535.26</v>
      </c>
      <c r="K14" s="897">
        <f>'Численность 2016'!G63</f>
        <v>263</v>
      </c>
      <c r="L14" s="1006">
        <f t="shared" si="0"/>
        <v>36779.949999999997</v>
      </c>
      <c r="M14" s="897">
        <f>'Численность 2016'!I63</f>
        <v>45</v>
      </c>
      <c r="N14" s="142">
        <f t="shared" si="30"/>
        <v>19602576.129999999</v>
      </c>
      <c r="O14" s="1006">
        <f t="shared" si="1"/>
        <v>35546.49</v>
      </c>
      <c r="P14" s="897">
        <f>'Численность 2016'!L63</f>
        <v>0</v>
      </c>
      <c r="Q14" s="1006">
        <f t="shared" si="2"/>
        <v>43923.6</v>
      </c>
      <c r="R14" s="897">
        <f>'Численность 2016'!N63</f>
        <v>0</v>
      </c>
      <c r="S14" s="1006">
        <f t="shared" si="3"/>
        <v>41904.99</v>
      </c>
      <c r="T14" s="897">
        <f>'Численность 2016'!P63</f>
        <v>0</v>
      </c>
      <c r="U14" s="142">
        <f t="shared" si="31"/>
        <v>0</v>
      </c>
      <c r="V14" s="1006">
        <f t="shared" si="4"/>
        <v>41274.050000000003</v>
      </c>
      <c r="W14" s="897">
        <f>'Численность 2016'!S63</f>
        <v>0</v>
      </c>
      <c r="X14" s="1006">
        <f t="shared" si="5"/>
        <v>51108.05</v>
      </c>
      <c r="Y14" s="897">
        <f>'Численность 2016'!U63</f>
        <v>0</v>
      </c>
      <c r="Z14" s="1006">
        <f t="shared" si="6"/>
        <v>48738.38</v>
      </c>
      <c r="AA14" s="897">
        <f>'Численность 2016'!W63</f>
        <v>0</v>
      </c>
      <c r="AB14" s="142">
        <f t="shared" si="32"/>
        <v>0</v>
      </c>
      <c r="AC14" s="1006">
        <f t="shared" si="7"/>
        <v>45569.73</v>
      </c>
      <c r="AD14" s="897">
        <f>'Численность 2016'!Z63</f>
        <v>0</v>
      </c>
      <c r="AE14" s="1006">
        <f t="shared" si="8"/>
        <v>56496.39</v>
      </c>
      <c r="AF14" s="897">
        <f>'Численность 2016'!AB63</f>
        <v>0</v>
      </c>
      <c r="AG14" s="142">
        <f t="shared" si="33"/>
        <v>0</v>
      </c>
      <c r="AH14" s="1006">
        <f t="shared" si="9"/>
        <v>54161.08</v>
      </c>
      <c r="AI14" s="897">
        <f>'Численность 2016'!AE63</f>
        <v>0</v>
      </c>
      <c r="AJ14" s="1006">
        <f t="shared" si="10"/>
        <v>67273.070000000007</v>
      </c>
      <c r="AK14" s="897">
        <f>'Численность 2016'!AG63</f>
        <v>0</v>
      </c>
      <c r="AL14" s="1006">
        <f t="shared" si="11"/>
        <v>64113.51</v>
      </c>
      <c r="AM14" s="897">
        <f>'Численность 2016'!AI63</f>
        <v>0</v>
      </c>
      <c r="AN14" s="142">
        <f t="shared" si="34"/>
        <v>0</v>
      </c>
      <c r="AO14" s="1006">
        <f t="shared" si="12"/>
        <v>29360.82</v>
      </c>
      <c r="AP14" s="897">
        <f>'Численность 2016'!AL63</f>
        <v>0</v>
      </c>
      <c r="AQ14" s="1006">
        <f t="shared" si="13"/>
        <v>36645.26</v>
      </c>
      <c r="AR14" s="897">
        <f>'Численность 2016'!AN63</f>
        <v>0</v>
      </c>
      <c r="AS14" s="1006">
        <f t="shared" si="14"/>
        <v>34889.949999999997</v>
      </c>
      <c r="AT14" s="897">
        <f>'Численность 2016'!AP63</f>
        <v>0</v>
      </c>
      <c r="AU14" s="142">
        <f t="shared" si="35"/>
        <v>0</v>
      </c>
      <c r="AV14" s="1006">
        <f t="shared" si="15"/>
        <v>35718.379999999997</v>
      </c>
      <c r="AW14" s="897">
        <f>'Численность 2016'!AS63</f>
        <v>0</v>
      </c>
      <c r="AX14" s="142">
        <f t="shared" si="36"/>
        <v>0</v>
      </c>
      <c r="AY14" s="143">
        <f t="shared" si="37"/>
        <v>19602576.129999999</v>
      </c>
      <c r="AZ14" s="1012">
        <f>'Численность 2016'!AV58</f>
        <v>1.627</v>
      </c>
      <c r="BA14" s="1006">
        <f t="shared" si="16"/>
        <v>65258.22</v>
      </c>
      <c r="BB14" s="897">
        <f>'Численность 2016'!AX63</f>
        <v>0</v>
      </c>
      <c r="BC14" s="1006">
        <f t="shared" si="17"/>
        <v>81192.94</v>
      </c>
      <c r="BD14" s="897">
        <f>'Численность 2016'!AZ63</f>
        <v>0</v>
      </c>
      <c r="BE14" s="1006">
        <f t="shared" si="18"/>
        <v>77353.2</v>
      </c>
      <c r="BF14" s="897">
        <f>'Численность 2016'!BB63</f>
        <v>0</v>
      </c>
      <c r="BG14" s="142">
        <f t="shared" si="38"/>
        <v>0</v>
      </c>
      <c r="BH14" s="1006">
        <f t="shared" si="19"/>
        <v>77787.27</v>
      </c>
      <c r="BI14" s="897">
        <f>'Численность 2016'!BE63</f>
        <v>0</v>
      </c>
      <c r="BJ14" s="1006">
        <f t="shared" si="20"/>
        <v>96908.93</v>
      </c>
      <c r="BK14" s="897">
        <f>'Численность 2016'!BG63</f>
        <v>0</v>
      </c>
      <c r="BL14" s="142">
        <f t="shared" si="39"/>
        <v>0</v>
      </c>
      <c r="BM14" s="144">
        <f t="shared" si="40"/>
        <v>0</v>
      </c>
      <c r="BN14" s="1006">
        <f t="shared" si="21"/>
        <v>25708.01</v>
      </c>
      <c r="BO14" s="897">
        <f>'Численность 2016'!BK63</f>
        <v>0</v>
      </c>
      <c r="BP14" s="1006">
        <f t="shared" si="22"/>
        <v>27763.9</v>
      </c>
      <c r="BQ14" s="897">
        <f>'Численность 2016'!BM63</f>
        <v>0</v>
      </c>
      <c r="BR14" s="1006">
        <f t="shared" si="23"/>
        <v>23851.91</v>
      </c>
      <c r="BS14" s="897">
        <f>'Численность 2016'!BO63</f>
        <v>0</v>
      </c>
      <c r="BT14" s="144">
        <f t="shared" si="41"/>
        <v>0</v>
      </c>
      <c r="BU14" s="1006">
        <f t="shared" si="24"/>
        <v>42444.76</v>
      </c>
      <c r="BV14" s="897">
        <f>'Численность 2016'!BR63</f>
        <v>0</v>
      </c>
      <c r="BW14" s="1006">
        <f t="shared" si="25"/>
        <v>46158.78</v>
      </c>
      <c r="BX14" s="897">
        <f>'Численность 2016'!BT63</f>
        <v>0</v>
      </c>
      <c r="BY14" s="1006">
        <f t="shared" si="26"/>
        <v>39091.67</v>
      </c>
      <c r="BZ14" s="897">
        <f>'Численность 2016'!BV63</f>
        <v>0</v>
      </c>
      <c r="CA14" s="144">
        <f t="shared" si="42"/>
        <v>0</v>
      </c>
      <c r="CB14" s="146">
        <f t="shared" si="48"/>
        <v>31893391.359999999</v>
      </c>
      <c r="CC14" s="1007">
        <f>'старое не смотреть'!F108</f>
        <v>64050190.300000004</v>
      </c>
      <c r="CD14" s="999">
        <f t="shared" si="43"/>
        <v>95943581.659999996</v>
      </c>
      <c r="CE14" s="1000">
        <f t="shared" si="49"/>
        <v>95943581.659999996</v>
      </c>
      <c r="CF14" s="1001">
        <v>95936915.140000001</v>
      </c>
      <c r="CG14" s="1002">
        <f t="shared" si="44"/>
        <v>6666.5199999958277</v>
      </c>
      <c r="CH14" s="1003"/>
      <c r="CI14" s="1004">
        <f t="shared" si="45"/>
        <v>1458054</v>
      </c>
      <c r="CJ14" s="1005">
        <f>'[1]Свод ФОТ 2016'!BY105</f>
        <v>2323479.5999999996</v>
      </c>
      <c r="CK14" s="1004">
        <f t="shared" si="46"/>
        <v>3781533.5999999996</v>
      </c>
      <c r="CL14" s="1004">
        <f t="shared" si="47"/>
        <v>92162048.060000002</v>
      </c>
      <c r="CM14" s="433">
        <v>95943581.659999996</v>
      </c>
      <c r="CO14" s="740"/>
    </row>
    <row r="15" spans="1:118" s="1011" customFormat="1" ht="16.5">
      <c r="A15" s="122" t="s">
        <v>768</v>
      </c>
      <c r="B15" s="992" t="s">
        <v>96</v>
      </c>
      <c r="C15" s="993">
        <f t="shared" si="27"/>
        <v>119</v>
      </c>
      <c r="D15" s="732">
        <v>2811</v>
      </c>
      <c r="E15" s="994">
        <f t="shared" si="28"/>
        <v>2930</v>
      </c>
      <c r="F15" s="995">
        <f>'[1]ФОТ 2016 29.02.16'!C125</f>
        <v>705</v>
      </c>
      <c r="G15" s="995">
        <f t="shared" si="29"/>
        <v>2225</v>
      </c>
      <c r="H15" s="1006">
        <f t="shared" si="0"/>
        <v>31250.82</v>
      </c>
      <c r="I15" s="897">
        <f>'Численность 2016'!E82</f>
        <v>987</v>
      </c>
      <c r="J15" s="1006">
        <f t="shared" si="0"/>
        <v>38535.26</v>
      </c>
      <c r="K15" s="897">
        <f>'Численность 2016'!G82</f>
        <v>1087</v>
      </c>
      <c r="L15" s="1006">
        <f t="shared" si="0"/>
        <v>36779.949999999997</v>
      </c>
      <c r="M15" s="897">
        <f>'Численность 2016'!I82</f>
        <v>132</v>
      </c>
      <c r="N15" s="142">
        <f t="shared" si="30"/>
        <v>77587340.359999999</v>
      </c>
      <c r="O15" s="1006">
        <f t="shared" si="1"/>
        <v>35546.49</v>
      </c>
      <c r="P15" s="897">
        <f>'Численность 2016'!L82</f>
        <v>0</v>
      </c>
      <c r="Q15" s="1006">
        <f t="shared" si="2"/>
        <v>43923.6</v>
      </c>
      <c r="R15" s="897">
        <f>'Численность 2016'!N82</f>
        <v>0</v>
      </c>
      <c r="S15" s="1006">
        <f t="shared" si="3"/>
        <v>41904.99</v>
      </c>
      <c r="T15" s="897">
        <f>'Численность 2016'!P82</f>
        <v>0</v>
      </c>
      <c r="U15" s="142">
        <f t="shared" si="31"/>
        <v>0</v>
      </c>
      <c r="V15" s="1006">
        <f t="shared" si="4"/>
        <v>41274.050000000003</v>
      </c>
      <c r="W15" s="897">
        <f>'Численность 2016'!S82</f>
        <v>0</v>
      </c>
      <c r="X15" s="1006">
        <f t="shared" si="5"/>
        <v>51108.05</v>
      </c>
      <c r="Y15" s="897">
        <f>'Численность 2016'!U82</f>
        <v>0</v>
      </c>
      <c r="Z15" s="1006">
        <f t="shared" si="6"/>
        <v>48738.38</v>
      </c>
      <c r="AA15" s="897">
        <f>'Численность 2016'!W82</f>
        <v>0</v>
      </c>
      <c r="AB15" s="142">
        <f t="shared" si="32"/>
        <v>0</v>
      </c>
      <c r="AC15" s="1006">
        <f t="shared" si="7"/>
        <v>45569.73</v>
      </c>
      <c r="AD15" s="897">
        <f>'Численность 2016'!Z82</f>
        <v>0</v>
      </c>
      <c r="AE15" s="1006">
        <f t="shared" si="8"/>
        <v>56496.39</v>
      </c>
      <c r="AF15" s="897">
        <f>'Численность 2016'!AB82</f>
        <v>0</v>
      </c>
      <c r="AG15" s="142">
        <f t="shared" si="33"/>
        <v>0</v>
      </c>
      <c r="AH15" s="1006">
        <f t="shared" si="9"/>
        <v>54161.08</v>
      </c>
      <c r="AI15" s="897">
        <f>'Численность 2016'!AE82</f>
        <v>8</v>
      </c>
      <c r="AJ15" s="1006">
        <f t="shared" si="10"/>
        <v>67273.070000000007</v>
      </c>
      <c r="AK15" s="897">
        <f>'Численность 2016'!AG82</f>
        <v>5</v>
      </c>
      <c r="AL15" s="1006">
        <f t="shared" si="11"/>
        <v>64113.51</v>
      </c>
      <c r="AM15" s="897">
        <f>'Численность 2016'!AI82</f>
        <v>0</v>
      </c>
      <c r="AN15" s="142">
        <f t="shared" si="34"/>
        <v>769653.99</v>
      </c>
      <c r="AO15" s="1006">
        <f t="shared" si="12"/>
        <v>29360.82</v>
      </c>
      <c r="AP15" s="897">
        <f>'Численность 2016'!AL82</f>
        <v>0</v>
      </c>
      <c r="AQ15" s="1006">
        <f t="shared" si="13"/>
        <v>36645.26</v>
      </c>
      <c r="AR15" s="897">
        <f>'Численность 2016'!AN82</f>
        <v>0</v>
      </c>
      <c r="AS15" s="1006">
        <f t="shared" si="14"/>
        <v>34889.949999999997</v>
      </c>
      <c r="AT15" s="897">
        <f>'Численность 2016'!AP82</f>
        <v>0</v>
      </c>
      <c r="AU15" s="142">
        <f t="shared" si="35"/>
        <v>0</v>
      </c>
      <c r="AV15" s="1006">
        <f t="shared" si="15"/>
        <v>35718.379999999997</v>
      </c>
      <c r="AW15" s="897">
        <f>'Численность 2016'!AS82</f>
        <v>0</v>
      </c>
      <c r="AX15" s="142">
        <f t="shared" si="36"/>
        <v>0</v>
      </c>
      <c r="AY15" s="143">
        <f t="shared" si="37"/>
        <v>78356994.349999994</v>
      </c>
      <c r="AZ15" s="1013">
        <f>'Численность 2016'!AV64</f>
        <v>1.3380000000000001</v>
      </c>
      <c r="BA15" s="1006">
        <f t="shared" si="16"/>
        <v>65258.22</v>
      </c>
      <c r="BB15" s="897">
        <f>'Численность 2016'!AX82</f>
        <v>0</v>
      </c>
      <c r="BC15" s="1006">
        <f t="shared" si="17"/>
        <v>81192.94</v>
      </c>
      <c r="BD15" s="897">
        <f>'Численность 2016'!AZ82</f>
        <v>0</v>
      </c>
      <c r="BE15" s="1006">
        <f t="shared" si="18"/>
        <v>77353.2</v>
      </c>
      <c r="BF15" s="897">
        <f>'Численность 2016'!BB82</f>
        <v>0</v>
      </c>
      <c r="BG15" s="142">
        <f t="shared" si="38"/>
        <v>0</v>
      </c>
      <c r="BH15" s="1006">
        <f t="shared" si="19"/>
        <v>77787.27</v>
      </c>
      <c r="BI15" s="897">
        <f>'Численность 2016'!BE82</f>
        <v>0</v>
      </c>
      <c r="BJ15" s="1006">
        <f t="shared" si="20"/>
        <v>96908.93</v>
      </c>
      <c r="BK15" s="897">
        <f>'Численность 2016'!BG82</f>
        <v>0</v>
      </c>
      <c r="BL15" s="142">
        <f t="shared" si="39"/>
        <v>0</v>
      </c>
      <c r="BM15" s="144">
        <f t="shared" si="40"/>
        <v>0</v>
      </c>
      <c r="BN15" s="1006">
        <f t="shared" si="21"/>
        <v>25708.01</v>
      </c>
      <c r="BO15" s="897">
        <f>'Численность 2016'!BK82</f>
        <v>0</v>
      </c>
      <c r="BP15" s="1006">
        <f t="shared" si="22"/>
        <v>27763.9</v>
      </c>
      <c r="BQ15" s="897">
        <f>'Численность 2016'!BM82</f>
        <v>3</v>
      </c>
      <c r="BR15" s="1006">
        <f t="shared" si="23"/>
        <v>23851.91</v>
      </c>
      <c r="BS15" s="897">
        <f>'Численность 2016'!BO82</f>
        <v>3</v>
      </c>
      <c r="BT15" s="144">
        <f t="shared" si="41"/>
        <v>154847.43</v>
      </c>
      <c r="BU15" s="1006">
        <f t="shared" si="24"/>
        <v>42444.76</v>
      </c>
      <c r="BV15" s="897">
        <f>'Численность 2016'!BR82</f>
        <v>0</v>
      </c>
      <c r="BW15" s="1006">
        <f t="shared" si="25"/>
        <v>46158.78</v>
      </c>
      <c r="BX15" s="897">
        <f>'Численность 2016'!BT82</f>
        <v>0</v>
      </c>
      <c r="BY15" s="1006">
        <f t="shared" si="26"/>
        <v>39091.67</v>
      </c>
      <c r="BZ15" s="897">
        <f>'Численность 2016'!BV82</f>
        <v>0</v>
      </c>
      <c r="CA15" s="144">
        <f t="shared" si="42"/>
        <v>0</v>
      </c>
      <c r="CB15" s="146">
        <f t="shared" si="48"/>
        <v>104996505.87</v>
      </c>
      <c r="CC15" s="1007">
        <f>'старое не смотреть'!F128</f>
        <v>73708141.089999989</v>
      </c>
      <c r="CD15" s="999">
        <f t="shared" si="43"/>
        <v>178704646.95999998</v>
      </c>
      <c r="CE15" s="1000">
        <f t="shared" si="49"/>
        <v>178704646.95999998</v>
      </c>
      <c r="CF15" s="1001">
        <v>177850809.18000001</v>
      </c>
      <c r="CG15" s="1002">
        <f t="shared" si="44"/>
        <v>853837.77999997139</v>
      </c>
      <c r="CH15" s="1003"/>
      <c r="CI15" s="1004">
        <f t="shared" si="45"/>
        <v>5813925</v>
      </c>
      <c r="CJ15" s="1005">
        <f>'[1]Свод ФОТ 2016'!BY123</f>
        <v>2201519.77</v>
      </c>
      <c r="CK15" s="1004">
        <f t="shared" si="46"/>
        <v>8015444.7699999996</v>
      </c>
      <c r="CL15" s="1004">
        <f t="shared" si="47"/>
        <v>170689202.18999997</v>
      </c>
      <c r="CM15" s="433">
        <v>178704646.95999998</v>
      </c>
      <c r="CO15" s="740"/>
    </row>
    <row r="16" spans="1:118" ht="16.5">
      <c r="A16" s="122" t="s">
        <v>769</v>
      </c>
      <c r="B16" s="992" t="s">
        <v>97</v>
      </c>
      <c r="C16" s="993">
        <f t="shared" si="27"/>
        <v>9</v>
      </c>
      <c r="D16" s="732">
        <v>355</v>
      </c>
      <c r="E16" s="994">
        <f t="shared" si="28"/>
        <v>364</v>
      </c>
      <c r="F16" s="995">
        <f>'[1]ФОТ 2016 29.02.16'!C134</f>
        <v>89</v>
      </c>
      <c r="G16" s="995">
        <f t="shared" si="29"/>
        <v>275</v>
      </c>
      <c r="H16" s="1006">
        <f t="shared" si="0"/>
        <v>31250.82</v>
      </c>
      <c r="I16" s="897">
        <f>'Численность 2016'!E85</f>
        <v>107</v>
      </c>
      <c r="J16" s="1006">
        <f t="shared" si="0"/>
        <v>38535.26</v>
      </c>
      <c r="K16" s="897">
        <f>'Численность 2016'!G85</f>
        <v>129</v>
      </c>
      <c r="L16" s="1006">
        <f t="shared" si="0"/>
        <v>36779.949999999997</v>
      </c>
      <c r="M16" s="897">
        <f>'Численность 2016'!I85</f>
        <v>33</v>
      </c>
      <c r="N16" s="142">
        <f t="shared" si="30"/>
        <v>9528624.6300000008</v>
      </c>
      <c r="O16" s="1006">
        <f t="shared" si="1"/>
        <v>35546.49</v>
      </c>
      <c r="P16" s="897">
        <f>'Численность 2016'!L85</f>
        <v>0</v>
      </c>
      <c r="Q16" s="1006">
        <f t="shared" si="2"/>
        <v>43923.6</v>
      </c>
      <c r="R16" s="897">
        <f>'Численность 2016'!N85</f>
        <v>0</v>
      </c>
      <c r="S16" s="1006">
        <f t="shared" si="3"/>
        <v>41904.99</v>
      </c>
      <c r="T16" s="897">
        <f>'Численность 2016'!P85</f>
        <v>0</v>
      </c>
      <c r="U16" s="142">
        <f t="shared" si="31"/>
        <v>0</v>
      </c>
      <c r="V16" s="1006">
        <f t="shared" si="4"/>
        <v>41274.050000000003</v>
      </c>
      <c r="W16" s="897">
        <f>'Численность 2016'!S85</f>
        <v>0</v>
      </c>
      <c r="X16" s="1006">
        <f t="shared" si="5"/>
        <v>51108.05</v>
      </c>
      <c r="Y16" s="897">
        <f>'Численность 2016'!U85</f>
        <v>0</v>
      </c>
      <c r="Z16" s="1006">
        <f t="shared" si="6"/>
        <v>48738.38</v>
      </c>
      <c r="AA16" s="897">
        <f>'Численность 2016'!W85</f>
        <v>0</v>
      </c>
      <c r="AB16" s="142">
        <f t="shared" si="32"/>
        <v>0</v>
      </c>
      <c r="AC16" s="1006">
        <f t="shared" si="7"/>
        <v>45569.73</v>
      </c>
      <c r="AD16" s="897">
        <f>'Численность 2016'!Z85</f>
        <v>0</v>
      </c>
      <c r="AE16" s="1006">
        <f t="shared" si="8"/>
        <v>56496.39</v>
      </c>
      <c r="AF16" s="897">
        <f>'Численность 2016'!AB85</f>
        <v>0</v>
      </c>
      <c r="AG16" s="142">
        <f t="shared" si="33"/>
        <v>0</v>
      </c>
      <c r="AH16" s="1006">
        <f t="shared" si="9"/>
        <v>54161.08</v>
      </c>
      <c r="AI16" s="897">
        <f>'Численность 2016'!AE85</f>
        <v>3</v>
      </c>
      <c r="AJ16" s="1006">
        <f t="shared" si="10"/>
        <v>67273.070000000007</v>
      </c>
      <c r="AK16" s="897">
        <f>'Численность 2016'!AG85</f>
        <v>3</v>
      </c>
      <c r="AL16" s="1006">
        <f t="shared" si="11"/>
        <v>64113.51</v>
      </c>
      <c r="AM16" s="897">
        <f>'Численность 2016'!AI85</f>
        <v>0</v>
      </c>
      <c r="AN16" s="142">
        <f t="shared" si="34"/>
        <v>364302.45</v>
      </c>
      <c r="AO16" s="1006">
        <f t="shared" si="12"/>
        <v>29360.82</v>
      </c>
      <c r="AP16" s="897">
        <f>'Численность 2016'!AL85</f>
        <v>0</v>
      </c>
      <c r="AQ16" s="1006">
        <f t="shared" si="13"/>
        <v>36645.26</v>
      </c>
      <c r="AR16" s="897">
        <f>'Численность 2016'!AN85</f>
        <v>0</v>
      </c>
      <c r="AS16" s="1006">
        <f t="shared" si="14"/>
        <v>34889.949999999997</v>
      </c>
      <c r="AT16" s="897">
        <f>'Численность 2016'!AP85</f>
        <v>0</v>
      </c>
      <c r="AU16" s="142">
        <f t="shared" si="35"/>
        <v>0</v>
      </c>
      <c r="AV16" s="1006">
        <f t="shared" si="15"/>
        <v>35718.379999999997</v>
      </c>
      <c r="AW16" s="897">
        <f>'Численность 2016'!AS85</f>
        <v>0</v>
      </c>
      <c r="AX16" s="142">
        <f t="shared" si="36"/>
        <v>0</v>
      </c>
      <c r="AY16" s="143">
        <f t="shared" si="37"/>
        <v>9892927.0800000001</v>
      </c>
      <c r="AZ16" s="1013">
        <f>'Численность 2016'!AV83</f>
        <v>1.3080000000000001</v>
      </c>
      <c r="BA16" s="1006">
        <f t="shared" si="16"/>
        <v>65258.22</v>
      </c>
      <c r="BB16" s="897">
        <f>'Численность 2016'!AX85</f>
        <v>0</v>
      </c>
      <c r="BC16" s="1006">
        <f t="shared" si="17"/>
        <v>81192.94</v>
      </c>
      <c r="BD16" s="897">
        <f>'Численность 2016'!AZ85</f>
        <v>0</v>
      </c>
      <c r="BE16" s="1006">
        <f t="shared" si="18"/>
        <v>77353.2</v>
      </c>
      <c r="BF16" s="897">
        <f>'Численность 2016'!BB85</f>
        <v>0</v>
      </c>
      <c r="BG16" s="142">
        <f t="shared" si="38"/>
        <v>0</v>
      </c>
      <c r="BH16" s="1006">
        <f t="shared" si="19"/>
        <v>77787.27</v>
      </c>
      <c r="BI16" s="897">
        <f>'Численность 2016'!BE85</f>
        <v>0</v>
      </c>
      <c r="BJ16" s="1006">
        <f t="shared" si="20"/>
        <v>96908.93</v>
      </c>
      <c r="BK16" s="897">
        <f>'Численность 2016'!BG85</f>
        <v>0</v>
      </c>
      <c r="BL16" s="142">
        <f t="shared" si="39"/>
        <v>0</v>
      </c>
      <c r="BM16" s="144">
        <f t="shared" si="40"/>
        <v>0</v>
      </c>
      <c r="BN16" s="1006">
        <f t="shared" si="21"/>
        <v>25708.01</v>
      </c>
      <c r="BO16" s="897">
        <f>'Численность 2016'!BK85</f>
        <v>0</v>
      </c>
      <c r="BP16" s="1006">
        <f t="shared" si="22"/>
        <v>27763.9</v>
      </c>
      <c r="BQ16" s="897">
        <f>'Численность 2016'!BM85</f>
        <v>0</v>
      </c>
      <c r="BR16" s="1006">
        <f t="shared" si="23"/>
        <v>23851.91</v>
      </c>
      <c r="BS16" s="897">
        <f>'Численность 2016'!BO85</f>
        <v>0</v>
      </c>
      <c r="BT16" s="144">
        <f t="shared" si="41"/>
        <v>0</v>
      </c>
      <c r="BU16" s="1006">
        <f t="shared" si="24"/>
        <v>42444.76</v>
      </c>
      <c r="BV16" s="897">
        <f>'Численность 2016'!BR85</f>
        <v>0</v>
      </c>
      <c r="BW16" s="1006">
        <f t="shared" si="25"/>
        <v>46158.78</v>
      </c>
      <c r="BX16" s="897">
        <f>'Численность 2016'!BT85</f>
        <v>0</v>
      </c>
      <c r="BY16" s="1006">
        <f t="shared" si="26"/>
        <v>39091.67</v>
      </c>
      <c r="BZ16" s="897">
        <f>'Численность 2016'!BV85</f>
        <v>0</v>
      </c>
      <c r="CA16" s="144">
        <f t="shared" si="42"/>
        <v>0</v>
      </c>
      <c r="CB16" s="146">
        <f t="shared" si="48"/>
        <v>12939948.619999999</v>
      </c>
      <c r="CC16" s="1007">
        <f>'старое не смотреть'!F137</f>
        <v>8366178.4299999997</v>
      </c>
      <c r="CD16" s="999">
        <f t="shared" si="43"/>
        <v>21306127.049999997</v>
      </c>
      <c r="CE16" s="1000">
        <f t="shared" si="49"/>
        <v>21306127.049999997</v>
      </c>
      <c r="CF16" s="1001">
        <v>21305678.710000001</v>
      </c>
      <c r="CG16" s="1002">
        <f t="shared" si="44"/>
        <v>448.3399999961257</v>
      </c>
      <c r="CH16" s="1003"/>
      <c r="CI16" s="1004">
        <f t="shared" si="45"/>
        <v>718575</v>
      </c>
      <c r="CJ16" s="1005">
        <f>'[1]Свод ФОТ 2016'!BY131</f>
        <v>285339.59999999998</v>
      </c>
      <c r="CK16" s="1004">
        <f t="shared" si="46"/>
        <v>1003914.6</v>
      </c>
      <c r="CL16" s="1004">
        <f t="shared" si="47"/>
        <v>20302212.449999996</v>
      </c>
      <c r="CM16" s="433">
        <v>21306127.049999997</v>
      </c>
      <c r="CO16" s="433"/>
    </row>
    <row r="17" spans="1:94" s="1011" customFormat="1" ht="16.5">
      <c r="A17" s="122" t="s">
        <v>770</v>
      </c>
      <c r="B17" s="992" t="s">
        <v>98</v>
      </c>
      <c r="C17" s="993">
        <f t="shared" si="27"/>
        <v>49</v>
      </c>
      <c r="D17" s="732">
        <v>2927</v>
      </c>
      <c r="E17" s="994">
        <f t="shared" si="28"/>
        <v>2976</v>
      </c>
      <c r="F17" s="995">
        <f>'[1]ФОТ 2016 29.02.16'!C148</f>
        <v>473</v>
      </c>
      <c r="G17" s="995">
        <f t="shared" si="29"/>
        <v>2503</v>
      </c>
      <c r="H17" s="1006">
        <f t="shared" si="0"/>
        <v>31250.82</v>
      </c>
      <c r="I17" s="897">
        <f>'Численность 2016'!E99</f>
        <v>978</v>
      </c>
      <c r="J17" s="1006">
        <f t="shared" si="0"/>
        <v>38535.26</v>
      </c>
      <c r="K17" s="897">
        <f>'Численность 2016'!G99</f>
        <v>804</v>
      </c>
      <c r="L17" s="1006">
        <f t="shared" si="0"/>
        <v>36779.949999999997</v>
      </c>
      <c r="M17" s="897">
        <f>'Численность 2016'!I99</f>
        <v>84</v>
      </c>
      <c r="N17" s="142">
        <f t="shared" si="30"/>
        <v>64635166.799999997</v>
      </c>
      <c r="O17" s="1006">
        <f t="shared" si="1"/>
        <v>35546.49</v>
      </c>
      <c r="P17" s="897">
        <f>'Численность 2016'!L99</f>
        <v>0</v>
      </c>
      <c r="Q17" s="1006">
        <f t="shared" si="2"/>
        <v>43923.6</v>
      </c>
      <c r="R17" s="897">
        <f>'Численность 2016'!N99</f>
        <v>277</v>
      </c>
      <c r="S17" s="1006">
        <f t="shared" si="3"/>
        <v>41904.99</v>
      </c>
      <c r="T17" s="897">
        <f>'Численность 2016'!P99</f>
        <v>126</v>
      </c>
      <c r="U17" s="142">
        <f t="shared" si="31"/>
        <v>17446865.940000001</v>
      </c>
      <c r="V17" s="1006">
        <f t="shared" si="4"/>
        <v>41274.050000000003</v>
      </c>
      <c r="W17" s="897">
        <f>'Численность 2016'!S99</f>
        <v>0</v>
      </c>
      <c r="X17" s="1006">
        <f t="shared" si="5"/>
        <v>51108.05</v>
      </c>
      <c r="Y17" s="897">
        <f>'Численность 2016'!U99</f>
        <v>0</v>
      </c>
      <c r="Z17" s="1006">
        <f t="shared" si="6"/>
        <v>48738.38</v>
      </c>
      <c r="AA17" s="897">
        <f>'Численность 2016'!W99</f>
        <v>0</v>
      </c>
      <c r="AB17" s="142">
        <f t="shared" si="32"/>
        <v>0</v>
      </c>
      <c r="AC17" s="1006">
        <f t="shared" si="7"/>
        <v>45569.73</v>
      </c>
      <c r="AD17" s="897">
        <f>'Численность 2016'!Z99</f>
        <v>0</v>
      </c>
      <c r="AE17" s="1006">
        <f t="shared" si="8"/>
        <v>56496.39</v>
      </c>
      <c r="AF17" s="897">
        <f>'Численность 2016'!AB99</f>
        <v>34</v>
      </c>
      <c r="AG17" s="142">
        <f t="shared" si="33"/>
        <v>1920877.26</v>
      </c>
      <c r="AH17" s="1006">
        <f t="shared" si="9"/>
        <v>54161.08</v>
      </c>
      <c r="AI17" s="897">
        <f>'Численность 2016'!AE99</f>
        <v>38</v>
      </c>
      <c r="AJ17" s="1006">
        <f t="shared" si="10"/>
        <v>67273.070000000007</v>
      </c>
      <c r="AK17" s="897">
        <f>'Численность 2016'!AG99</f>
        <v>54</v>
      </c>
      <c r="AL17" s="1006">
        <f t="shared" si="11"/>
        <v>64113.51</v>
      </c>
      <c r="AM17" s="897">
        <f>'Численность 2016'!AI99</f>
        <v>4</v>
      </c>
      <c r="AN17" s="142">
        <f t="shared" si="34"/>
        <v>5947320.8600000003</v>
      </c>
      <c r="AO17" s="1006">
        <f t="shared" si="12"/>
        <v>29360.82</v>
      </c>
      <c r="AP17" s="897">
        <f>'Численность 2016'!AL99</f>
        <v>0</v>
      </c>
      <c r="AQ17" s="1006">
        <f t="shared" si="13"/>
        <v>36645.26</v>
      </c>
      <c r="AR17" s="897">
        <f>'Численность 2016'!AN99</f>
        <v>0</v>
      </c>
      <c r="AS17" s="1006">
        <f t="shared" si="14"/>
        <v>34889.949999999997</v>
      </c>
      <c r="AT17" s="897">
        <f>'Численность 2016'!AP99</f>
        <v>0</v>
      </c>
      <c r="AU17" s="142">
        <f t="shared" si="35"/>
        <v>0</v>
      </c>
      <c r="AV17" s="1006">
        <f t="shared" si="15"/>
        <v>35718.379999999997</v>
      </c>
      <c r="AW17" s="897">
        <f>'Численность 2016'!AS99</f>
        <v>45</v>
      </c>
      <c r="AX17" s="142">
        <f t="shared" si="36"/>
        <v>1607327.1</v>
      </c>
      <c r="AY17" s="143">
        <f t="shared" si="37"/>
        <v>91557557.960000008</v>
      </c>
      <c r="AZ17" s="1013">
        <f>'Численность 2016'!AV86</f>
        <v>1.24</v>
      </c>
      <c r="BA17" s="1006">
        <f t="shared" si="16"/>
        <v>65258.22</v>
      </c>
      <c r="BB17" s="897">
        <f>'Численность 2016'!AX99</f>
        <v>0</v>
      </c>
      <c r="BC17" s="1006">
        <f t="shared" si="17"/>
        <v>81192.94</v>
      </c>
      <c r="BD17" s="897">
        <f>'Численность 2016'!AZ99</f>
        <v>0</v>
      </c>
      <c r="BE17" s="1006">
        <f t="shared" si="18"/>
        <v>77353.2</v>
      </c>
      <c r="BF17" s="897">
        <f>'Численность 2016'!BB99</f>
        <v>0</v>
      </c>
      <c r="BG17" s="142">
        <f t="shared" si="38"/>
        <v>0</v>
      </c>
      <c r="BH17" s="1006">
        <f t="shared" si="19"/>
        <v>77787.27</v>
      </c>
      <c r="BI17" s="897">
        <f>'Численность 2016'!BE99</f>
        <v>0</v>
      </c>
      <c r="BJ17" s="1006">
        <f t="shared" si="20"/>
        <v>96908.93</v>
      </c>
      <c r="BK17" s="897">
        <f>'Численность 2016'!BG99</f>
        <v>0</v>
      </c>
      <c r="BL17" s="142">
        <f t="shared" si="39"/>
        <v>0</v>
      </c>
      <c r="BM17" s="144">
        <f t="shared" si="40"/>
        <v>0</v>
      </c>
      <c r="BN17" s="1006">
        <f t="shared" si="21"/>
        <v>25708.01</v>
      </c>
      <c r="BO17" s="897">
        <f>'Численность 2016'!BK99</f>
        <v>0</v>
      </c>
      <c r="BP17" s="1006">
        <f t="shared" si="22"/>
        <v>27763.9</v>
      </c>
      <c r="BQ17" s="897">
        <f>'Численность 2016'!BM99</f>
        <v>0</v>
      </c>
      <c r="BR17" s="1006">
        <f t="shared" si="23"/>
        <v>23851.91</v>
      </c>
      <c r="BS17" s="897">
        <f>'Численность 2016'!BO99</f>
        <v>59</v>
      </c>
      <c r="BT17" s="144">
        <f t="shared" si="41"/>
        <v>1407262.69</v>
      </c>
      <c r="BU17" s="1006">
        <f t="shared" si="24"/>
        <v>42444.76</v>
      </c>
      <c r="BV17" s="897">
        <f>'Численность 2016'!BR99</f>
        <v>0</v>
      </c>
      <c r="BW17" s="1006">
        <f t="shared" si="25"/>
        <v>46158.78</v>
      </c>
      <c r="BX17" s="897">
        <f>'Численность 2016'!BT99</f>
        <v>0</v>
      </c>
      <c r="BY17" s="1006">
        <f t="shared" si="26"/>
        <v>39091.67</v>
      </c>
      <c r="BZ17" s="897">
        <f>'Численность 2016'!BV99</f>
        <v>0</v>
      </c>
      <c r="CA17" s="144">
        <f t="shared" si="42"/>
        <v>0</v>
      </c>
      <c r="CB17" s="146">
        <f t="shared" si="48"/>
        <v>114938634.56</v>
      </c>
      <c r="CC17" s="1007">
        <f>'старое не смотреть'!F151</f>
        <v>42233163.32</v>
      </c>
      <c r="CD17" s="999">
        <f t="shared" si="43"/>
        <v>157171797.88</v>
      </c>
      <c r="CE17" s="1000">
        <f t="shared" si="49"/>
        <v>157171797.88</v>
      </c>
      <c r="CF17" s="1001">
        <v>155144619.05000001</v>
      </c>
      <c r="CG17" s="1009">
        <f t="shared" si="44"/>
        <v>2027178.8299999833</v>
      </c>
      <c r="CH17" s="1003"/>
      <c r="CI17" s="1004">
        <f t="shared" si="45"/>
        <v>6483639</v>
      </c>
      <c r="CJ17" s="1005">
        <f>'[1]Свод ФОТ 2016'!BY144</f>
        <v>1253843</v>
      </c>
      <c r="CK17" s="1004">
        <f t="shared" si="46"/>
        <v>7737482</v>
      </c>
      <c r="CL17" s="1004">
        <f t="shared" si="47"/>
        <v>149434315.88</v>
      </c>
      <c r="CM17" s="433">
        <v>157171797.88</v>
      </c>
      <c r="CO17" s="897"/>
    </row>
    <row r="18" spans="1:94" s="1011" customFormat="1" ht="16.5">
      <c r="A18" s="122" t="s">
        <v>771</v>
      </c>
      <c r="B18" s="992" t="s">
        <v>99</v>
      </c>
      <c r="C18" s="993">
        <f t="shared" si="27"/>
        <v>49</v>
      </c>
      <c r="D18" s="732">
        <v>629</v>
      </c>
      <c r="E18" s="994">
        <f t="shared" si="28"/>
        <v>678</v>
      </c>
      <c r="F18" s="995">
        <f>'[1]ФОТ 2016 29.02.16'!C157</f>
        <v>678</v>
      </c>
      <c r="G18" s="995">
        <f t="shared" si="29"/>
        <v>0</v>
      </c>
      <c r="H18" s="1006">
        <f t="shared" si="0"/>
        <v>31250.82</v>
      </c>
      <c r="I18" s="897">
        <f>'Численность 2016'!E101</f>
        <v>0</v>
      </c>
      <c r="J18" s="1006">
        <f t="shared" si="0"/>
        <v>38535.26</v>
      </c>
      <c r="K18" s="897">
        <f>'Численность 2016'!G101</f>
        <v>0</v>
      </c>
      <c r="L18" s="1006">
        <f t="shared" si="0"/>
        <v>36779.949999999997</v>
      </c>
      <c r="M18" s="897">
        <f>'Численность 2016'!I101</f>
        <v>0</v>
      </c>
      <c r="N18" s="142">
        <f t="shared" si="30"/>
        <v>0</v>
      </c>
      <c r="O18" s="1006">
        <f t="shared" si="1"/>
        <v>35546.49</v>
      </c>
      <c r="P18" s="897">
        <f>'Численность 2016'!L101</f>
        <v>0</v>
      </c>
      <c r="Q18" s="1006">
        <f t="shared" si="2"/>
        <v>43923.6</v>
      </c>
      <c r="R18" s="897">
        <f>'Численность 2016'!N101</f>
        <v>0</v>
      </c>
      <c r="S18" s="1006">
        <f t="shared" si="3"/>
        <v>41904.99</v>
      </c>
      <c r="T18" s="897">
        <f>'Численность 2016'!P101</f>
        <v>0</v>
      </c>
      <c r="U18" s="142">
        <f t="shared" si="31"/>
        <v>0</v>
      </c>
      <c r="V18" s="1006">
        <f t="shared" si="4"/>
        <v>41274.050000000003</v>
      </c>
      <c r="W18" s="897">
        <f>'Численность 2016'!S101</f>
        <v>0</v>
      </c>
      <c r="X18" s="1006">
        <f t="shared" si="5"/>
        <v>51108.05</v>
      </c>
      <c r="Y18" s="897">
        <f>'Численность 2016'!U101</f>
        <v>0</v>
      </c>
      <c r="Z18" s="1006">
        <f t="shared" si="6"/>
        <v>48738.38</v>
      </c>
      <c r="AA18" s="897">
        <f>'Численность 2016'!W101</f>
        <v>0</v>
      </c>
      <c r="AB18" s="142">
        <f t="shared" si="32"/>
        <v>0</v>
      </c>
      <c r="AC18" s="1006">
        <f t="shared" si="7"/>
        <v>45569.73</v>
      </c>
      <c r="AD18" s="897">
        <f>'Численность 2016'!Z101</f>
        <v>0</v>
      </c>
      <c r="AE18" s="1006">
        <f t="shared" si="8"/>
        <v>56496.39</v>
      </c>
      <c r="AF18" s="897">
        <f>'Численность 2016'!AB101</f>
        <v>0</v>
      </c>
      <c r="AG18" s="142">
        <f t="shared" si="33"/>
        <v>0</v>
      </c>
      <c r="AH18" s="1006">
        <f t="shared" si="9"/>
        <v>54161.08</v>
      </c>
      <c r="AI18" s="897">
        <f>'Численность 2016'!AE101</f>
        <v>0</v>
      </c>
      <c r="AJ18" s="1006">
        <f t="shared" si="10"/>
        <v>67273.070000000007</v>
      </c>
      <c r="AK18" s="897">
        <f>'Численность 2016'!AG101</f>
        <v>0</v>
      </c>
      <c r="AL18" s="1006">
        <f t="shared" si="11"/>
        <v>64113.51</v>
      </c>
      <c r="AM18" s="897">
        <f>'Численность 2016'!AI101</f>
        <v>0</v>
      </c>
      <c r="AN18" s="142">
        <f t="shared" si="34"/>
        <v>0</v>
      </c>
      <c r="AO18" s="1006">
        <f t="shared" si="12"/>
        <v>29360.82</v>
      </c>
      <c r="AP18" s="897">
        <f>'Численность 2016'!AL101</f>
        <v>0</v>
      </c>
      <c r="AQ18" s="1006">
        <f t="shared" si="13"/>
        <v>36645.26</v>
      </c>
      <c r="AR18" s="897">
        <f>'Численность 2016'!AN101</f>
        <v>0</v>
      </c>
      <c r="AS18" s="1006">
        <f t="shared" si="14"/>
        <v>34889.949999999997</v>
      </c>
      <c r="AT18" s="897">
        <f>'Численность 2016'!AP101</f>
        <v>0</v>
      </c>
      <c r="AU18" s="142">
        <f t="shared" si="35"/>
        <v>0</v>
      </c>
      <c r="AV18" s="1006">
        <f t="shared" si="15"/>
        <v>35718.379999999997</v>
      </c>
      <c r="AW18" s="897">
        <f>'Численность 2016'!AS101</f>
        <v>0</v>
      </c>
      <c r="AX18" s="142">
        <f t="shared" si="36"/>
        <v>0</v>
      </c>
      <c r="AY18" s="143">
        <f t="shared" si="37"/>
        <v>0</v>
      </c>
      <c r="AZ18" s="1014">
        <v>0</v>
      </c>
      <c r="BA18" s="1006">
        <f t="shared" si="16"/>
        <v>65258.22</v>
      </c>
      <c r="BB18" s="897">
        <f>'Численность 2016'!AX101</f>
        <v>0</v>
      </c>
      <c r="BC18" s="1006">
        <f t="shared" si="17"/>
        <v>81192.94</v>
      </c>
      <c r="BD18" s="897">
        <f>'Численность 2016'!AZ101</f>
        <v>0</v>
      </c>
      <c r="BE18" s="1006">
        <f t="shared" si="18"/>
        <v>77353.2</v>
      </c>
      <c r="BF18" s="897">
        <f>'Численность 2016'!BB101</f>
        <v>0</v>
      </c>
      <c r="BG18" s="142">
        <f t="shared" si="38"/>
        <v>0</v>
      </c>
      <c r="BH18" s="1006">
        <f t="shared" si="19"/>
        <v>77787.27</v>
      </c>
      <c r="BI18" s="897">
        <f>'Численность 2016'!BE101</f>
        <v>0</v>
      </c>
      <c r="BJ18" s="1006">
        <f t="shared" si="20"/>
        <v>96908.93</v>
      </c>
      <c r="BK18" s="897">
        <f>'Численность 2016'!BG101</f>
        <v>0</v>
      </c>
      <c r="BL18" s="142">
        <f t="shared" si="39"/>
        <v>0</v>
      </c>
      <c r="BM18" s="144">
        <f t="shared" si="40"/>
        <v>0</v>
      </c>
      <c r="BN18" s="1006">
        <f t="shared" si="21"/>
        <v>25708.01</v>
      </c>
      <c r="BO18" s="897">
        <f>'Численность 2016'!BK101</f>
        <v>0</v>
      </c>
      <c r="BP18" s="1006">
        <f t="shared" si="22"/>
        <v>27763.9</v>
      </c>
      <c r="BQ18" s="897">
        <f>'Численность 2016'!BM101</f>
        <v>0</v>
      </c>
      <c r="BR18" s="1006">
        <f t="shared" si="23"/>
        <v>23851.91</v>
      </c>
      <c r="BS18" s="897">
        <f>'Численность 2016'!BO101</f>
        <v>0</v>
      </c>
      <c r="BT18" s="144">
        <f t="shared" si="41"/>
        <v>0</v>
      </c>
      <c r="BU18" s="1006">
        <f t="shared" si="24"/>
        <v>42444.76</v>
      </c>
      <c r="BV18" s="897">
        <f>'Численность 2016'!BR101</f>
        <v>0</v>
      </c>
      <c r="BW18" s="1006">
        <f t="shared" si="25"/>
        <v>46158.78</v>
      </c>
      <c r="BX18" s="897">
        <f>'Численность 2016'!BT101</f>
        <v>0</v>
      </c>
      <c r="BY18" s="1006">
        <f t="shared" si="26"/>
        <v>39091.67</v>
      </c>
      <c r="BZ18" s="897">
        <f>'Численность 2016'!BV101</f>
        <v>0</v>
      </c>
      <c r="CA18" s="144">
        <f t="shared" si="42"/>
        <v>0</v>
      </c>
      <c r="CB18" s="146">
        <f t="shared" si="48"/>
        <v>0</v>
      </c>
      <c r="CC18" s="1007">
        <f>'старое не смотреть'!F160</f>
        <v>53998688.449999996</v>
      </c>
      <c r="CD18" s="999">
        <f t="shared" si="43"/>
        <v>53998688.449999996</v>
      </c>
      <c r="CE18" s="1000">
        <f t="shared" si="49"/>
        <v>53998688.449999996</v>
      </c>
      <c r="CF18" s="1001">
        <v>57126594.469999999</v>
      </c>
      <c r="CG18" s="1002">
        <f t="shared" si="44"/>
        <v>-3127906.0200000033</v>
      </c>
      <c r="CH18" s="1003"/>
      <c r="CI18" s="1004">
        <f t="shared" si="45"/>
        <v>0</v>
      </c>
      <c r="CJ18" s="1005">
        <f>'[1]Свод ФОТ 2016'!BY152</f>
        <v>5363000</v>
      </c>
      <c r="CK18" s="1004">
        <f t="shared" si="46"/>
        <v>5363000</v>
      </c>
      <c r="CL18" s="1004">
        <f t="shared" si="47"/>
        <v>48635688.449999996</v>
      </c>
      <c r="CM18" s="433">
        <v>53998688.449999996</v>
      </c>
      <c r="CO18" s="740"/>
    </row>
    <row r="19" spans="1:94" ht="16.5">
      <c r="A19" s="122" t="s">
        <v>772</v>
      </c>
      <c r="B19" s="992" t="s">
        <v>100</v>
      </c>
      <c r="C19" s="1010">
        <f t="shared" si="27"/>
        <v>288</v>
      </c>
      <c r="D19" s="732">
        <v>3014</v>
      </c>
      <c r="E19" s="994">
        <f t="shared" si="28"/>
        <v>3302</v>
      </c>
      <c r="F19" s="995">
        <f>'[1]ФОТ 2016 29.02.16'!C178</f>
        <v>1207</v>
      </c>
      <c r="G19" s="995">
        <f t="shared" si="29"/>
        <v>2095</v>
      </c>
      <c r="H19" s="1006">
        <f t="shared" si="0"/>
        <v>31250.82</v>
      </c>
      <c r="I19" s="897">
        <f>'Численность 2016'!E107</f>
        <v>874</v>
      </c>
      <c r="J19" s="1006">
        <f t="shared" si="0"/>
        <v>38535.26</v>
      </c>
      <c r="K19" s="897">
        <f>'Численность 2016'!G107</f>
        <v>965</v>
      </c>
      <c r="L19" s="1006">
        <f t="shared" si="0"/>
        <v>36779.949999999997</v>
      </c>
      <c r="M19" s="897">
        <f>'Численность 2016'!I107</f>
        <v>169</v>
      </c>
      <c r="N19" s="142">
        <f t="shared" si="30"/>
        <v>70715554.129999995</v>
      </c>
      <c r="O19" s="1006">
        <f t="shared" si="1"/>
        <v>35546.49</v>
      </c>
      <c r="P19" s="897">
        <f>'Численность 2016'!L107</f>
        <v>0</v>
      </c>
      <c r="Q19" s="1006">
        <f t="shared" si="2"/>
        <v>43923.6</v>
      </c>
      <c r="R19" s="897">
        <f>'Численность 2016'!N107</f>
        <v>0</v>
      </c>
      <c r="S19" s="1006">
        <f t="shared" si="3"/>
        <v>41904.99</v>
      </c>
      <c r="T19" s="897">
        <f>'Численность 2016'!P107</f>
        <v>0</v>
      </c>
      <c r="U19" s="142">
        <f t="shared" si="31"/>
        <v>0</v>
      </c>
      <c r="V19" s="1006">
        <f t="shared" si="4"/>
        <v>41274.050000000003</v>
      </c>
      <c r="W19" s="897">
        <f>'Численность 2016'!S107</f>
        <v>0</v>
      </c>
      <c r="X19" s="1006">
        <f t="shared" si="5"/>
        <v>51108.05</v>
      </c>
      <c r="Y19" s="897">
        <f>'Численность 2016'!U107</f>
        <v>0</v>
      </c>
      <c r="Z19" s="1006">
        <f t="shared" si="6"/>
        <v>48738.38</v>
      </c>
      <c r="AA19" s="897">
        <f>'Численность 2016'!W107</f>
        <v>0</v>
      </c>
      <c r="AB19" s="142">
        <f t="shared" si="32"/>
        <v>0</v>
      </c>
      <c r="AC19" s="1006">
        <f t="shared" si="7"/>
        <v>45569.73</v>
      </c>
      <c r="AD19" s="897">
        <f>'Численность 2016'!Z107</f>
        <v>0</v>
      </c>
      <c r="AE19" s="1006">
        <f t="shared" si="8"/>
        <v>56496.39</v>
      </c>
      <c r="AF19" s="897">
        <f>'Численность 2016'!AB107</f>
        <v>0</v>
      </c>
      <c r="AG19" s="142">
        <f t="shared" si="33"/>
        <v>0</v>
      </c>
      <c r="AH19" s="1006">
        <f t="shared" si="9"/>
        <v>54161.08</v>
      </c>
      <c r="AI19" s="897">
        <f>'Численность 2016'!AE107</f>
        <v>6</v>
      </c>
      <c r="AJ19" s="1006">
        <f t="shared" si="10"/>
        <v>67273.070000000007</v>
      </c>
      <c r="AK19" s="897">
        <f>'Численность 2016'!AG107</f>
        <v>27</v>
      </c>
      <c r="AL19" s="1006">
        <f t="shared" si="11"/>
        <v>64113.51</v>
      </c>
      <c r="AM19" s="897">
        <f>'Численность 2016'!AI107</f>
        <v>0</v>
      </c>
      <c r="AN19" s="142">
        <f t="shared" si="34"/>
        <v>2141339.37</v>
      </c>
      <c r="AO19" s="1006">
        <f t="shared" si="12"/>
        <v>29360.82</v>
      </c>
      <c r="AP19" s="897">
        <f>'Численность 2016'!AL107</f>
        <v>0</v>
      </c>
      <c r="AQ19" s="1006">
        <f t="shared" si="13"/>
        <v>36645.26</v>
      </c>
      <c r="AR19" s="897">
        <f>'Численность 2016'!AN107</f>
        <v>0</v>
      </c>
      <c r="AS19" s="1006">
        <f t="shared" si="14"/>
        <v>34889.949999999997</v>
      </c>
      <c r="AT19" s="897">
        <f>'Численность 2016'!AP107</f>
        <v>0</v>
      </c>
      <c r="AU19" s="142">
        <f t="shared" si="35"/>
        <v>0</v>
      </c>
      <c r="AV19" s="1006">
        <f t="shared" si="15"/>
        <v>35718.379999999997</v>
      </c>
      <c r="AW19" s="897">
        <f>'Численность 2016'!AS107</f>
        <v>50</v>
      </c>
      <c r="AX19" s="142">
        <f t="shared" si="36"/>
        <v>1785919</v>
      </c>
      <c r="AY19" s="143">
        <f t="shared" si="37"/>
        <v>74642812.5</v>
      </c>
      <c r="AZ19" s="1202">
        <v>1</v>
      </c>
      <c r="BA19" s="1006">
        <f t="shared" si="16"/>
        <v>65258.22</v>
      </c>
      <c r="BB19" s="897">
        <f>'Численность 2016'!AX107</f>
        <v>0</v>
      </c>
      <c r="BC19" s="1006">
        <f t="shared" si="17"/>
        <v>81192.94</v>
      </c>
      <c r="BD19" s="897">
        <f>'Численность 2016'!AZ107</f>
        <v>0</v>
      </c>
      <c r="BE19" s="1006">
        <f t="shared" si="18"/>
        <v>77353.2</v>
      </c>
      <c r="BF19" s="897">
        <f>'Численность 2016'!BB107</f>
        <v>0</v>
      </c>
      <c r="BG19" s="142">
        <f t="shared" si="38"/>
        <v>0</v>
      </c>
      <c r="BH19" s="1006">
        <f t="shared" si="19"/>
        <v>77787.27</v>
      </c>
      <c r="BI19" s="897">
        <f>'Численность 2016'!BE107</f>
        <v>0</v>
      </c>
      <c r="BJ19" s="1006">
        <f t="shared" si="20"/>
        <v>96908.93</v>
      </c>
      <c r="BK19" s="897">
        <f>'Численность 2016'!BG107</f>
        <v>0</v>
      </c>
      <c r="BL19" s="142">
        <f t="shared" si="39"/>
        <v>0</v>
      </c>
      <c r="BM19" s="144">
        <f t="shared" si="40"/>
        <v>0</v>
      </c>
      <c r="BN19" s="1006">
        <f t="shared" si="21"/>
        <v>25708.01</v>
      </c>
      <c r="BO19" s="897">
        <f>'Численность 2016'!BK107</f>
        <v>0</v>
      </c>
      <c r="BP19" s="1006">
        <f t="shared" si="22"/>
        <v>27763.9</v>
      </c>
      <c r="BQ19" s="897">
        <f>'Численность 2016'!BM107</f>
        <v>0</v>
      </c>
      <c r="BR19" s="1006">
        <f t="shared" si="23"/>
        <v>23851.91</v>
      </c>
      <c r="BS19" s="897">
        <f>'Численность 2016'!BO107</f>
        <v>4</v>
      </c>
      <c r="BT19" s="144">
        <f t="shared" si="41"/>
        <v>95407.64</v>
      </c>
      <c r="BU19" s="1006">
        <f t="shared" si="24"/>
        <v>42444.76</v>
      </c>
      <c r="BV19" s="897">
        <f>'Численность 2016'!BR107</f>
        <v>0</v>
      </c>
      <c r="BW19" s="1006">
        <f t="shared" si="25"/>
        <v>46158.78</v>
      </c>
      <c r="BX19" s="897">
        <f>'Численность 2016'!BT107</f>
        <v>0</v>
      </c>
      <c r="BY19" s="1006">
        <f t="shared" si="26"/>
        <v>39091.67</v>
      </c>
      <c r="BZ19" s="897">
        <f>'Численность 2016'!BV107</f>
        <v>0</v>
      </c>
      <c r="CA19" s="144">
        <f t="shared" si="42"/>
        <v>0</v>
      </c>
      <c r="CB19" s="146">
        <f t="shared" si="48"/>
        <v>74738220.140000001</v>
      </c>
      <c r="CC19" s="1007">
        <f>'старое не смотреть'!F181</f>
        <v>85233869.520000011</v>
      </c>
      <c r="CD19" s="999">
        <f t="shared" si="43"/>
        <v>159972089.66000003</v>
      </c>
      <c r="CE19" s="1000">
        <f t="shared" si="49"/>
        <v>159972089.66000003</v>
      </c>
      <c r="CF19" s="1001">
        <v>159972089.66</v>
      </c>
      <c r="CG19" s="1002">
        <f t="shared" si="44"/>
        <v>0</v>
      </c>
      <c r="CH19" s="1003"/>
      <c r="CI19" s="1004">
        <f t="shared" si="45"/>
        <v>5411235</v>
      </c>
      <c r="CJ19" s="1005">
        <f>'[1]Свод ФОТ 2016'!BY172</f>
        <v>3327205.5</v>
      </c>
      <c r="CK19" s="1004">
        <f t="shared" si="46"/>
        <v>8738440.5</v>
      </c>
      <c r="CL19" s="1004">
        <f t="shared" si="47"/>
        <v>151233649.16000003</v>
      </c>
      <c r="CM19" s="433">
        <v>159972089.66000003</v>
      </c>
      <c r="CO19" s="433"/>
    </row>
    <row r="20" spans="1:94" s="1011" customFormat="1" ht="16.5">
      <c r="A20" s="122" t="s">
        <v>773</v>
      </c>
      <c r="B20" s="992" t="s">
        <v>207</v>
      </c>
      <c r="C20" s="993">
        <f t="shared" si="27"/>
        <v>100</v>
      </c>
      <c r="D20" s="732">
        <v>2562</v>
      </c>
      <c r="E20" s="994">
        <f t="shared" si="28"/>
        <v>2662</v>
      </c>
      <c r="F20" s="995">
        <v>0</v>
      </c>
      <c r="G20" s="995">
        <f t="shared" si="29"/>
        <v>2662</v>
      </c>
      <c r="H20" s="1006">
        <f t="shared" si="0"/>
        <v>31250.82</v>
      </c>
      <c r="I20" s="897">
        <f>'Численность 2016'!E126</f>
        <v>1160</v>
      </c>
      <c r="J20" s="1006">
        <f t="shared" si="0"/>
        <v>38535.26</v>
      </c>
      <c r="K20" s="897">
        <f>'Численность 2016'!G126</f>
        <v>1260</v>
      </c>
      <c r="L20" s="1006">
        <f t="shared" si="0"/>
        <v>36779.949999999997</v>
      </c>
      <c r="M20" s="897">
        <f>'Численность 2016'!I126</f>
        <v>205</v>
      </c>
      <c r="N20" s="142">
        <f t="shared" si="30"/>
        <v>92345268.549999997</v>
      </c>
      <c r="O20" s="1006">
        <f t="shared" si="1"/>
        <v>35546.49</v>
      </c>
      <c r="P20" s="897">
        <f>'Численность 2016'!L126</f>
        <v>0</v>
      </c>
      <c r="Q20" s="1006">
        <f t="shared" si="2"/>
        <v>43923.6</v>
      </c>
      <c r="R20" s="897">
        <f>'Численность 2016'!N126</f>
        <v>0</v>
      </c>
      <c r="S20" s="1006">
        <f t="shared" si="3"/>
        <v>41904.99</v>
      </c>
      <c r="T20" s="897">
        <f>'Численность 2016'!P126</f>
        <v>0</v>
      </c>
      <c r="U20" s="142">
        <f t="shared" si="31"/>
        <v>0</v>
      </c>
      <c r="V20" s="1006">
        <f t="shared" si="4"/>
        <v>41274.050000000003</v>
      </c>
      <c r="W20" s="897">
        <f>'Численность 2016'!S126</f>
        <v>0</v>
      </c>
      <c r="X20" s="1006">
        <f t="shared" si="5"/>
        <v>51108.05</v>
      </c>
      <c r="Y20" s="897">
        <f>'Численность 2016'!U126</f>
        <v>0</v>
      </c>
      <c r="Z20" s="1006">
        <f t="shared" si="6"/>
        <v>48738.38</v>
      </c>
      <c r="AA20" s="897">
        <f>'Численность 2016'!W126</f>
        <v>0</v>
      </c>
      <c r="AB20" s="142">
        <f t="shared" si="32"/>
        <v>0</v>
      </c>
      <c r="AC20" s="1006">
        <f t="shared" si="7"/>
        <v>45569.73</v>
      </c>
      <c r="AD20" s="897">
        <f>'Численность 2016'!Z126</f>
        <v>0</v>
      </c>
      <c r="AE20" s="1006">
        <f t="shared" si="8"/>
        <v>56496.39</v>
      </c>
      <c r="AF20" s="897">
        <f>'Численность 2016'!AB126</f>
        <v>0</v>
      </c>
      <c r="AG20" s="142">
        <f t="shared" si="33"/>
        <v>0</v>
      </c>
      <c r="AH20" s="1006">
        <f t="shared" si="9"/>
        <v>54161.08</v>
      </c>
      <c r="AI20" s="897">
        <f>'Численность 2016'!AE126</f>
        <v>14</v>
      </c>
      <c r="AJ20" s="1006">
        <f t="shared" si="10"/>
        <v>67273.070000000007</v>
      </c>
      <c r="AK20" s="897">
        <f>'Численность 2016'!AG126</f>
        <v>23</v>
      </c>
      <c r="AL20" s="1006">
        <f t="shared" si="11"/>
        <v>64113.51</v>
      </c>
      <c r="AM20" s="897">
        <f>'Численность 2016'!AI126</f>
        <v>0</v>
      </c>
      <c r="AN20" s="142">
        <f t="shared" si="34"/>
        <v>2305535.73</v>
      </c>
      <c r="AO20" s="1006">
        <f t="shared" si="12"/>
        <v>29360.82</v>
      </c>
      <c r="AP20" s="897">
        <f>'Численность 2016'!AL126</f>
        <v>0</v>
      </c>
      <c r="AQ20" s="1006">
        <f t="shared" si="13"/>
        <v>36645.26</v>
      </c>
      <c r="AR20" s="897">
        <f>'Численность 2016'!AN126</f>
        <v>0</v>
      </c>
      <c r="AS20" s="1006">
        <f t="shared" si="14"/>
        <v>34889.949999999997</v>
      </c>
      <c r="AT20" s="897">
        <f>'Численность 2016'!AP126</f>
        <v>0</v>
      </c>
      <c r="AU20" s="142">
        <f t="shared" si="35"/>
        <v>0</v>
      </c>
      <c r="AV20" s="1006">
        <f t="shared" si="15"/>
        <v>35718.379999999997</v>
      </c>
      <c r="AW20" s="897">
        <f>'Численность 2016'!AS126</f>
        <v>0</v>
      </c>
      <c r="AX20" s="142">
        <f t="shared" si="36"/>
        <v>0</v>
      </c>
      <c r="AY20" s="143">
        <f t="shared" si="37"/>
        <v>94650804.280000001</v>
      </c>
      <c r="AZ20" s="1013">
        <f>'Численность 2016'!AV108</f>
        <v>1.3240000000000001</v>
      </c>
      <c r="BA20" s="1006">
        <f t="shared" si="16"/>
        <v>65258.22</v>
      </c>
      <c r="BB20" s="897">
        <f>'Численность 2016'!AX126</f>
        <v>0</v>
      </c>
      <c r="BC20" s="1006">
        <f t="shared" si="17"/>
        <v>81192.94</v>
      </c>
      <c r="BD20" s="897">
        <f>'Численность 2016'!AZ126</f>
        <v>0</v>
      </c>
      <c r="BE20" s="1006">
        <f t="shared" si="18"/>
        <v>77353.2</v>
      </c>
      <c r="BF20" s="897">
        <f>'Численность 2016'!BB126</f>
        <v>0</v>
      </c>
      <c r="BG20" s="142">
        <f t="shared" si="38"/>
        <v>0</v>
      </c>
      <c r="BH20" s="1006">
        <f t="shared" si="19"/>
        <v>77787.27</v>
      </c>
      <c r="BI20" s="897">
        <f>'Численность 2016'!BE126</f>
        <v>0</v>
      </c>
      <c r="BJ20" s="1006">
        <f t="shared" si="20"/>
        <v>96908.93</v>
      </c>
      <c r="BK20" s="897">
        <f>'Численность 2016'!BG126</f>
        <v>0</v>
      </c>
      <c r="BL20" s="142">
        <f t="shared" si="39"/>
        <v>0</v>
      </c>
      <c r="BM20" s="144">
        <f t="shared" si="40"/>
        <v>0</v>
      </c>
      <c r="BN20" s="1006">
        <f t="shared" si="21"/>
        <v>25708.01</v>
      </c>
      <c r="BO20" s="897">
        <f>'Численность 2016'!BK126</f>
        <v>0</v>
      </c>
      <c r="BP20" s="1006">
        <f t="shared" si="22"/>
        <v>27763.9</v>
      </c>
      <c r="BQ20" s="897">
        <f>'Численность 2016'!BM126</f>
        <v>0</v>
      </c>
      <c r="BR20" s="1006">
        <f t="shared" si="23"/>
        <v>23851.91</v>
      </c>
      <c r="BS20" s="897">
        <f>'Численность 2016'!BO126</f>
        <v>0</v>
      </c>
      <c r="BT20" s="144">
        <f t="shared" si="41"/>
        <v>0</v>
      </c>
      <c r="BU20" s="1006">
        <f t="shared" si="24"/>
        <v>42444.76</v>
      </c>
      <c r="BV20" s="897">
        <f>'Численность 2016'!BR126</f>
        <v>0</v>
      </c>
      <c r="BW20" s="1006">
        <f t="shared" si="25"/>
        <v>46158.78</v>
      </c>
      <c r="BX20" s="897">
        <f>'Численность 2016'!BT126</f>
        <v>0</v>
      </c>
      <c r="BY20" s="1006">
        <f t="shared" si="26"/>
        <v>39091.67</v>
      </c>
      <c r="BZ20" s="897">
        <f>'Численность 2016'!BV126</f>
        <v>0</v>
      </c>
      <c r="CA20" s="144">
        <f t="shared" si="42"/>
        <v>0</v>
      </c>
      <c r="CB20" s="1184">
        <f t="shared" si="48"/>
        <v>125317664.87</v>
      </c>
      <c r="CC20" s="1007">
        <f>0</f>
        <v>0</v>
      </c>
      <c r="CD20" s="1183">
        <f t="shared" si="43"/>
        <v>125317664.87</v>
      </c>
      <c r="CE20" s="1000">
        <f t="shared" si="49"/>
        <v>125317664.87</v>
      </c>
      <c r="CF20" s="1001">
        <v>123804320.59</v>
      </c>
      <c r="CG20" s="1009">
        <f t="shared" si="44"/>
        <v>1513344.2800000012</v>
      </c>
      <c r="CH20" s="1003"/>
      <c r="CI20" s="1004">
        <f t="shared" si="45"/>
        <v>6955806</v>
      </c>
      <c r="CJ20" s="1005">
        <f>0</f>
        <v>0</v>
      </c>
      <c r="CK20" s="1004">
        <f t="shared" si="46"/>
        <v>6955806</v>
      </c>
      <c r="CL20" s="1004">
        <f t="shared" si="47"/>
        <v>118361858.87</v>
      </c>
      <c r="CM20" s="433">
        <v>125317664.87</v>
      </c>
      <c r="CO20" s="873">
        <f>'старое не смотреть'!D192</f>
        <v>125301165.58999999</v>
      </c>
      <c r="CP20" s="1011" t="s">
        <v>817</v>
      </c>
    </row>
    <row r="21" spans="1:94" ht="16.5">
      <c r="A21" s="122" t="s">
        <v>774</v>
      </c>
      <c r="B21" s="992" t="s">
        <v>212</v>
      </c>
      <c r="C21" s="1010">
        <f t="shared" si="27"/>
        <v>383</v>
      </c>
      <c r="D21" s="732">
        <v>3884</v>
      </c>
      <c r="E21" s="994">
        <f t="shared" si="28"/>
        <v>4267</v>
      </c>
      <c r="F21" s="995">
        <f>'[1]ФОТ 2016 29.02.16'!C207</f>
        <v>4267</v>
      </c>
      <c r="G21" s="995">
        <f t="shared" si="29"/>
        <v>0</v>
      </c>
      <c r="H21" s="1006">
        <f t="shared" si="0"/>
        <v>31250.82</v>
      </c>
      <c r="I21" s="897">
        <f>'Численность 2016'!E128</f>
        <v>0</v>
      </c>
      <c r="J21" s="1006">
        <f t="shared" si="0"/>
        <v>38535.26</v>
      </c>
      <c r="K21" s="897">
        <f>'Численность 2016'!G128</f>
        <v>0</v>
      </c>
      <c r="L21" s="1006">
        <f t="shared" si="0"/>
        <v>36779.949999999997</v>
      </c>
      <c r="M21" s="897">
        <f>'Численность 2016'!I128</f>
        <v>0</v>
      </c>
      <c r="N21" s="142">
        <f t="shared" si="30"/>
        <v>0</v>
      </c>
      <c r="O21" s="1006">
        <f t="shared" si="1"/>
        <v>35546.49</v>
      </c>
      <c r="P21" s="897">
        <f>'Численность 2016'!L128</f>
        <v>0</v>
      </c>
      <c r="Q21" s="1006">
        <f t="shared" si="2"/>
        <v>43923.6</v>
      </c>
      <c r="R21" s="897">
        <f>'Численность 2016'!N128</f>
        <v>0</v>
      </c>
      <c r="S21" s="1006">
        <f t="shared" si="3"/>
        <v>41904.99</v>
      </c>
      <c r="T21" s="897">
        <f>'Численность 2016'!P128</f>
        <v>0</v>
      </c>
      <c r="U21" s="142">
        <f t="shared" si="31"/>
        <v>0</v>
      </c>
      <c r="V21" s="1006">
        <f t="shared" si="4"/>
        <v>41274.050000000003</v>
      </c>
      <c r="W21" s="897">
        <f>'Численность 2016'!S128</f>
        <v>0</v>
      </c>
      <c r="X21" s="1006">
        <f t="shared" si="5"/>
        <v>51108.05</v>
      </c>
      <c r="Y21" s="897">
        <f>'Численность 2016'!U128</f>
        <v>0</v>
      </c>
      <c r="Z21" s="1006">
        <f t="shared" si="6"/>
        <v>48738.38</v>
      </c>
      <c r="AA21" s="897">
        <f>'Численность 2016'!W128</f>
        <v>0</v>
      </c>
      <c r="AB21" s="142">
        <f t="shared" si="32"/>
        <v>0</v>
      </c>
      <c r="AC21" s="1006">
        <f t="shared" si="7"/>
        <v>45569.73</v>
      </c>
      <c r="AD21" s="897">
        <f>'Численность 2016'!Z128</f>
        <v>0</v>
      </c>
      <c r="AE21" s="1006">
        <f t="shared" si="8"/>
        <v>56496.39</v>
      </c>
      <c r="AF21" s="897">
        <f>'Численность 2016'!AB128</f>
        <v>0</v>
      </c>
      <c r="AG21" s="142">
        <f t="shared" si="33"/>
        <v>0</v>
      </c>
      <c r="AH21" s="1006">
        <f t="shared" si="9"/>
        <v>54161.08</v>
      </c>
      <c r="AI21" s="897">
        <f>'Численность 2016'!AE128</f>
        <v>0</v>
      </c>
      <c r="AJ21" s="1006">
        <f t="shared" si="10"/>
        <v>67273.070000000007</v>
      </c>
      <c r="AK21" s="897">
        <f>'Численность 2016'!AG128</f>
        <v>0</v>
      </c>
      <c r="AL21" s="1006">
        <f t="shared" si="11"/>
        <v>64113.51</v>
      </c>
      <c r="AM21" s="897">
        <f>'Численность 2016'!AI128</f>
        <v>0</v>
      </c>
      <c r="AN21" s="142">
        <f t="shared" si="34"/>
        <v>0</v>
      </c>
      <c r="AO21" s="1006">
        <f t="shared" si="12"/>
        <v>29360.82</v>
      </c>
      <c r="AP21" s="897">
        <f>'Численность 2016'!AL128</f>
        <v>0</v>
      </c>
      <c r="AQ21" s="1006">
        <f t="shared" si="13"/>
        <v>36645.26</v>
      </c>
      <c r="AR21" s="897">
        <f>'Численность 2016'!AN128</f>
        <v>0</v>
      </c>
      <c r="AS21" s="1006">
        <f t="shared" si="14"/>
        <v>34889.949999999997</v>
      </c>
      <c r="AT21" s="897">
        <f>'Численность 2016'!AP128</f>
        <v>0</v>
      </c>
      <c r="AU21" s="142">
        <f t="shared" si="35"/>
        <v>0</v>
      </c>
      <c r="AV21" s="1006">
        <f t="shared" si="15"/>
        <v>35718.379999999997</v>
      </c>
      <c r="AW21" s="897">
        <f>'Численность 2016'!AS128</f>
        <v>0</v>
      </c>
      <c r="AX21" s="142">
        <f t="shared" si="36"/>
        <v>0</v>
      </c>
      <c r="AY21" s="143">
        <f t="shared" si="37"/>
        <v>0</v>
      </c>
      <c r="AZ21" s="1016">
        <v>0</v>
      </c>
      <c r="BA21" s="1006">
        <f t="shared" si="16"/>
        <v>65258.22</v>
      </c>
      <c r="BB21" s="897">
        <f>'Численность 2016'!AX128</f>
        <v>0</v>
      </c>
      <c r="BC21" s="1006">
        <f t="shared" si="17"/>
        <v>81192.94</v>
      </c>
      <c r="BD21" s="897">
        <f>'Численность 2016'!AZ128</f>
        <v>0</v>
      </c>
      <c r="BE21" s="1006">
        <f t="shared" si="18"/>
        <v>77353.2</v>
      </c>
      <c r="BF21" s="897">
        <f>'Численность 2016'!BB128</f>
        <v>0</v>
      </c>
      <c r="BG21" s="142">
        <f t="shared" si="38"/>
        <v>0</v>
      </c>
      <c r="BH21" s="1006">
        <f t="shared" si="19"/>
        <v>77787.27</v>
      </c>
      <c r="BI21" s="897">
        <f>'Численность 2016'!BE128</f>
        <v>0</v>
      </c>
      <c r="BJ21" s="1006">
        <f t="shared" si="20"/>
        <v>96908.93</v>
      </c>
      <c r="BK21" s="897">
        <f>'Численность 2016'!BG128</f>
        <v>0</v>
      </c>
      <c r="BL21" s="142">
        <f t="shared" si="39"/>
        <v>0</v>
      </c>
      <c r="BM21" s="144">
        <f t="shared" si="40"/>
        <v>0</v>
      </c>
      <c r="BN21" s="1006">
        <f t="shared" si="21"/>
        <v>25708.01</v>
      </c>
      <c r="BO21" s="897">
        <f>'Численность 2016'!BK128</f>
        <v>0</v>
      </c>
      <c r="BP21" s="1006">
        <f t="shared" si="22"/>
        <v>27763.9</v>
      </c>
      <c r="BQ21" s="897">
        <f>'Численность 2016'!BM128</f>
        <v>0</v>
      </c>
      <c r="BR21" s="1006">
        <f t="shared" si="23"/>
        <v>23851.91</v>
      </c>
      <c r="BS21" s="897">
        <f>'Численность 2016'!BO128</f>
        <v>0</v>
      </c>
      <c r="BT21" s="144">
        <f t="shared" si="41"/>
        <v>0</v>
      </c>
      <c r="BU21" s="1006">
        <f t="shared" si="24"/>
        <v>42444.76</v>
      </c>
      <c r="BV21" s="897">
        <f>'Численность 2016'!BR128</f>
        <v>0</v>
      </c>
      <c r="BW21" s="1006">
        <f t="shared" si="25"/>
        <v>46158.78</v>
      </c>
      <c r="BX21" s="897">
        <f>'Численность 2016'!BT128</f>
        <v>0</v>
      </c>
      <c r="BY21" s="1006">
        <f t="shared" si="26"/>
        <v>39091.67</v>
      </c>
      <c r="BZ21" s="897">
        <f>'Численность 2016'!BV128</f>
        <v>0</v>
      </c>
      <c r="CA21" s="144">
        <f t="shared" si="42"/>
        <v>0</v>
      </c>
      <c r="CB21" s="146">
        <f t="shared" si="48"/>
        <v>0</v>
      </c>
      <c r="CC21" s="1007">
        <f>'старое не смотреть'!F210</f>
        <v>290228395.17000002</v>
      </c>
      <c r="CD21" s="999">
        <f t="shared" si="43"/>
        <v>290228395.17000002</v>
      </c>
      <c r="CE21" s="1000">
        <f t="shared" si="49"/>
        <v>290228395.17000002</v>
      </c>
      <c r="CF21" s="1001">
        <v>288318738.69999999</v>
      </c>
      <c r="CG21" s="1009">
        <f t="shared" si="44"/>
        <v>1909656.4700000286</v>
      </c>
      <c r="CH21" s="1003"/>
      <c r="CI21" s="1004">
        <f t="shared" si="45"/>
        <v>0</v>
      </c>
      <c r="CJ21" s="1005">
        <f>'[1]Свод ФОТ 2016'!BY196</f>
        <v>10449174</v>
      </c>
      <c r="CK21" s="1004">
        <f t="shared" si="46"/>
        <v>10449174</v>
      </c>
      <c r="CL21" s="1004">
        <f t="shared" si="47"/>
        <v>279779221.17000002</v>
      </c>
      <c r="CM21" s="433">
        <v>290228395.17000002</v>
      </c>
      <c r="CO21" s="433"/>
    </row>
    <row r="22" spans="1:94" ht="16.5">
      <c r="A22" s="122" t="s">
        <v>775</v>
      </c>
      <c r="B22" s="992" t="s">
        <v>227</v>
      </c>
      <c r="C22" s="993">
        <f t="shared" si="27"/>
        <v>-27</v>
      </c>
      <c r="D22" s="732">
        <v>897</v>
      </c>
      <c r="E22" s="994">
        <f t="shared" si="28"/>
        <v>870</v>
      </c>
      <c r="F22" s="995">
        <f>'[1]ФОТ 2016 29.02.16'!C216</f>
        <v>175</v>
      </c>
      <c r="G22" s="995">
        <f t="shared" si="29"/>
        <v>695</v>
      </c>
      <c r="H22" s="1006">
        <f t="shared" si="0"/>
        <v>31250.82</v>
      </c>
      <c r="I22" s="897">
        <f>'Численность 2016'!E143</f>
        <v>282</v>
      </c>
      <c r="J22" s="1006">
        <f t="shared" si="0"/>
        <v>38535.26</v>
      </c>
      <c r="K22" s="897">
        <f>'Численность 2016'!G143</f>
        <v>338</v>
      </c>
      <c r="L22" s="1006">
        <f t="shared" si="0"/>
        <v>36779.949999999997</v>
      </c>
      <c r="M22" s="897">
        <f>'Численность 2016'!I143</f>
        <v>67</v>
      </c>
      <c r="N22" s="142">
        <f t="shared" si="30"/>
        <v>24301905.77</v>
      </c>
      <c r="O22" s="1006">
        <f t="shared" si="1"/>
        <v>35546.49</v>
      </c>
      <c r="P22" s="897">
        <f>'Численность 2016'!L143</f>
        <v>0</v>
      </c>
      <c r="Q22" s="1006">
        <f t="shared" si="2"/>
        <v>43923.6</v>
      </c>
      <c r="R22" s="897">
        <f>'Численность 2016'!N143</f>
        <v>0</v>
      </c>
      <c r="S22" s="1006">
        <f t="shared" si="3"/>
        <v>41904.99</v>
      </c>
      <c r="T22" s="897">
        <f>'Численность 2016'!P143</f>
        <v>0</v>
      </c>
      <c r="U22" s="142">
        <f t="shared" si="31"/>
        <v>0</v>
      </c>
      <c r="V22" s="1006">
        <f t="shared" si="4"/>
        <v>41274.050000000003</v>
      </c>
      <c r="W22" s="897">
        <f>'Численность 2016'!S143</f>
        <v>0</v>
      </c>
      <c r="X22" s="1006">
        <f t="shared" si="5"/>
        <v>51108.05</v>
      </c>
      <c r="Y22" s="897">
        <f>'Численность 2016'!U143</f>
        <v>0</v>
      </c>
      <c r="Z22" s="1006">
        <f t="shared" si="6"/>
        <v>48738.38</v>
      </c>
      <c r="AA22" s="897">
        <f>'Численность 2016'!W143</f>
        <v>0</v>
      </c>
      <c r="AB22" s="142">
        <f t="shared" si="32"/>
        <v>0</v>
      </c>
      <c r="AC22" s="1006">
        <f t="shared" si="7"/>
        <v>45569.73</v>
      </c>
      <c r="AD22" s="897">
        <f>'Численность 2016'!Z143</f>
        <v>0</v>
      </c>
      <c r="AE22" s="1006">
        <f t="shared" si="8"/>
        <v>56496.39</v>
      </c>
      <c r="AF22" s="897">
        <f>'Численность 2016'!AB143</f>
        <v>0</v>
      </c>
      <c r="AG22" s="142">
        <f t="shared" si="33"/>
        <v>0</v>
      </c>
      <c r="AH22" s="1006">
        <f t="shared" si="9"/>
        <v>54161.08</v>
      </c>
      <c r="AI22" s="897">
        <f>'Численность 2016'!AE143</f>
        <v>4</v>
      </c>
      <c r="AJ22" s="1006">
        <f t="shared" si="10"/>
        <v>67273.070000000007</v>
      </c>
      <c r="AK22" s="897">
        <f>'Численность 2016'!AG143</f>
        <v>4</v>
      </c>
      <c r="AL22" s="1006">
        <f t="shared" si="11"/>
        <v>64113.51</v>
      </c>
      <c r="AM22" s="897">
        <f>'Численность 2016'!AI143</f>
        <v>0</v>
      </c>
      <c r="AN22" s="142">
        <f t="shared" si="34"/>
        <v>485736.6</v>
      </c>
      <c r="AO22" s="1006">
        <f t="shared" si="12"/>
        <v>29360.82</v>
      </c>
      <c r="AP22" s="897">
        <f>'Численность 2016'!AL143</f>
        <v>0</v>
      </c>
      <c r="AQ22" s="1006">
        <f t="shared" si="13"/>
        <v>36645.26</v>
      </c>
      <c r="AR22" s="897">
        <f>'Численность 2016'!AN143</f>
        <v>0</v>
      </c>
      <c r="AS22" s="1006">
        <f t="shared" si="14"/>
        <v>34889.949999999997</v>
      </c>
      <c r="AT22" s="897">
        <f>'Численность 2016'!AP143</f>
        <v>0</v>
      </c>
      <c r="AU22" s="142">
        <f t="shared" si="35"/>
        <v>0</v>
      </c>
      <c r="AV22" s="1006">
        <f t="shared" si="15"/>
        <v>35718.379999999997</v>
      </c>
      <c r="AW22" s="897">
        <f>'Численность 2016'!AS143</f>
        <v>0</v>
      </c>
      <c r="AX22" s="142">
        <f t="shared" si="36"/>
        <v>0</v>
      </c>
      <c r="AY22" s="143">
        <f t="shared" si="37"/>
        <v>24787642.370000001</v>
      </c>
      <c r="AZ22" s="1012">
        <f>'Численность 2016'!AV129</f>
        <v>1.583</v>
      </c>
      <c r="BA22" s="1006">
        <f t="shared" si="16"/>
        <v>65258.22</v>
      </c>
      <c r="BB22" s="897">
        <f>'Численность 2016'!AX143</f>
        <v>0</v>
      </c>
      <c r="BC22" s="1006">
        <f t="shared" si="17"/>
        <v>81192.94</v>
      </c>
      <c r="BD22" s="897">
        <f>'Численность 2016'!AZ143</f>
        <v>0</v>
      </c>
      <c r="BE22" s="1006">
        <f t="shared" si="18"/>
        <v>77353.2</v>
      </c>
      <c r="BF22" s="897">
        <f>'Численность 2016'!BB143</f>
        <v>0</v>
      </c>
      <c r="BG22" s="142">
        <f t="shared" si="38"/>
        <v>0</v>
      </c>
      <c r="BH22" s="1006">
        <f t="shared" si="19"/>
        <v>77787.27</v>
      </c>
      <c r="BI22" s="897">
        <f>'Численность 2016'!BE143</f>
        <v>0</v>
      </c>
      <c r="BJ22" s="1006">
        <f t="shared" si="20"/>
        <v>96908.93</v>
      </c>
      <c r="BK22" s="897">
        <f>'Численность 2016'!BG143</f>
        <v>0</v>
      </c>
      <c r="BL22" s="142">
        <f t="shared" si="39"/>
        <v>0</v>
      </c>
      <c r="BM22" s="144">
        <f t="shared" si="40"/>
        <v>0</v>
      </c>
      <c r="BN22" s="1006">
        <f t="shared" si="21"/>
        <v>25708.01</v>
      </c>
      <c r="BO22" s="897">
        <f>'Численность 2016'!BK143</f>
        <v>0</v>
      </c>
      <c r="BP22" s="1006">
        <f t="shared" si="22"/>
        <v>27763.9</v>
      </c>
      <c r="BQ22" s="897">
        <f>'Численность 2016'!BM143</f>
        <v>0</v>
      </c>
      <c r="BR22" s="1006">
        <f t="shared" si="23"/>
        <v>23851.91</v>
      </c>
      <c r="BS22" s="897">
        <f>'Численность 2016'!BO143</f>
        <v>0</v>
      </c>
      <c r="BT22" s="144">
        <f t="shared" si="41"/>
        <v>0</v>
      </c>
      <c r="BU22" s="1006">
        <f t="shared" si="24"/>
        <v>42444.76</v>
      </c>
      <c r="BV22" s="897">
        <f>'Численность 2016'!BR143</f>
        <v>0</v>
      </c>
      <c r="BW22" s="1006">
        <f t="shared" si="25"/>
        <v>46158.78</v>
      </c>
      <c r="BX22" s="897">
        <f>'Численность 2016'!BT143</f>
        <v>0</v>
      </c>
      <c r="BY22" s="1006">
        <f t="shared" si="26"/>
        <v>39091.67</v>
      </c>
      <c r="BZ22" s="897">
        <f>'Численность 2016'!BV143</f>
        <v>0</v>
      </c>
      <c r="CA22" s="144">
        <f t="shared" si="42"/>
        <v>0</v>
      </c>
      <c r="CB22" s="146">
        <f t="shared" si="48"/>
        <v>39238837.869999997</v>
      </c>
      <c r="CC22" s="1007">
        <f>'старое не смотреть'!F219</f>
        <v>18071516.399999999</v>
      </c>
      <c r="CD22" s="999">
        <f t="shared" si="43"/>
        <v>57310354.269999996</v>
      </c>
      <c r="CE22" s="1000">
        <f t="shared" si="49"/>
        <v>57310354.269999996</v>
      </c>
      <c r="CF22" s="1001">
        <v>57546069.020000003</v>
      </c>
      <c r="CG22" s="1002">
        <f t="shared" si="44"/>
        <v>-235714.75000000745</v>
      </c>
      <c r="CH22" s="1003"/>
      <c r="CI22" s="1004">
        <f t="shared" si="45"/>
        <v>1816035</v>
      </c>
      <c r="CJ22" s="1005">
        <f>'[1]Свод ФОТ 2016'!BY204</f>
        <v>393700</v>
      </c>
      <c r="CK22" s="1004">
        <f t="shared" si="46"/>
        <v>2209735</v>
      </c>
      <c r="CL22" s="1004">
        <f t="shared" si="47"/>
        <v>55100619.269999996</v>
      </c>
      <c r="CM22" s="433">
        <v>57310354.269999996</v>
      </c>
      <c r="CO22" s="433"/>
    </row>
    <row r="23" spans="1:94" s="1011" customFormat="1" ht="16.5">
      <c r="A23" s="122" t="s">
        <v>776</v>
      </c>
      <c r="B23" s="992" t="s">
        <v>231</v>
      </c>
      <c r="C23" s="993">
        <f t="shared" si="27"/>
        <v>63</v>
      </c>
      <c r="D23" s="732">
        <v>1517</v>
      </c>
      <c r="E23" s="994">
        <f t="shared" si="28"/>
        <v>1580</v>
      </c>
      <c r="F23" s="995">
        <f>'[1]ФОТ 2016 29.02.16'!C232</f>
        <v>805</v>
      </c>
      <c r="G23" s="995">
        <f t="shared" si="29"/>
        <v>775</v>
      </c>
      <c r="H23" s="1006">
        <f t="shared" si="0"/>
        <v>31250.82</v>
      </c>
      <c r="I23" s="897">
        <f>'Численность 2016'!E148</f>
        <v>305</v>
      </c>
      <c r="J23" s="1006">
        <f t="shared" si="0"/>
        <v>38535.26</v>
      </c>
      <c r="K23" s="897">
        <f>'Численность 2016'!G148</f>
        <v>387</v>
      </c>
      <c r="L23" s="1006">
        <f t="shared" si="0"/>
        <v>36779.949999999997</v>
      </c>
      <c r="M23" s="897">
        <f>'Численность 2016'!I148</f>
        <v>80</v>
      </c>
      <c r="N23" s="142">
        <f t="shared" si="30"/>
        <v>27387041.719999999</v>
      </c>
      <c r="O23" s="1006">
        <f t="shared" si="1"/>
        <v>35546.49</v>
      </c>
      <c r="P23" s="897">
        <f>'Численность 2016'!L148</f>
        <v>0</v>
      </c>
      <c r="Q23" s="1006">
        <f t="shared" si="2"/>
        <v>43923.6</v>
      </c>
      <c r="R23" s="897">
        <f>'Численность 2016'!N148</f>
        <v>0</v>
      </c>
      <c r="S23" s="1006">
        <f t="shared" si="3"/>
        <v>41904.99</v>
      </c>
      <c r="T23" s="897">
        <f>'Численность 2016'!P148</f>
        <v>0</v>
      </c>
      <c r="U23" s="142">
        <f t="shared" si="31"/>
        <v>0</v>
      </c>
      <c r="V23" s="1006">
        <f t="shared" si="4"/>
        <v>41274.050000000003</v>
      </c>
      <c r="W23" s="897">
        <f>'Численность 2016'!S148</f>
        <v>0</v>
      </c>
      <c r="X23" s="1006">
        <f t="shared" si="5"/>
        <v>51108.05</v>
      </c>
      <c r="Y23" s="897">
        <f>'Численность 2016'!U148</f>
        <v>0</v>
      </c>
      <c r="Z23" s="1006">
        <f t="shared" si="6"/>
        <v>48738.38</v>
      </c>
      <c r="AA23" s="897">
        <f>'Численность 2016'!W148</f>
        <v>0</v>
      </c>
      <c r="AB23" s="142">
        <f t="shared" si="32"/>
        <v>0</v>
      </c>
      <c r="AC23" s="1006">
        <f t="shared" si="7"/>
        <v>45569.73</v>
      </c>
      <c r="AD23" s="897">
        <f>'Численность 2016'!Z148</f>
        <v>0</v>
      </c>
      <c r="AE23" s="1006">
        <f t="shared" si="8"/>
        <v>56496.39</v>
      </c>
      <c r="AF23" s="897">
        <f>'Численность 2016'!AB148</f>
        <v>0</v>
      </c>
      <c r="AG23" s="142">
        <f t="shared" si="33"/>
        <v>0</v>
      </c>
      <c r="AH23" s="1006">
        <f t="shared" si="9"/>
        <v>54161.08</v>
      </c>
      <c r="AI23" s="897">
        <f>'Численность 2016'!AE148</f>
        <v>0</v>
      </c>
      <c r="AJ23" s="1006">
        <f t="shared" si="10"/>
        <v>67273.070000000007</v>
      </c>
      <c r="AK23" s="897">
        <f>'Численность 2016'!AG148</f>
        <v>3</v>
      </c>
      <c r="AL23" s="1006">
        <f t="shared" si="11"/>
        <v>64113.51</v>
      </c>
      <c r="AM23" s="897">
        <f>'Численность 2016'!AI148</f>
        <v>0</v>
      </c>
      <c r="AN23" s="142">
        <f t="shared" si="34"/>
        <v>201819.21</v>
      </c>
      <c r="AO23" s="1006">
        <f t="shared" si="12"/>
        <v>29360.82</v>
      </c>
      <c r="AP23" s="897">
        <f>'Численность 2016'!AL148</f>
        <v>0</v>
      </c>
      <c r="AQ23" s="1006">
        <f t="shared" si="13"/>
        <v>36645.26</v>
      </c>
      <c r="AR23" s="897">
        <f>'Численность 2016'!AN148</f>
        <v>0</v>
      </c>
      <c r="AS23" s="1006">
        <f t="shared" si="14"/>
        <v>34889.949999999997</v>
      </c>
      <c r="AT23" s="897">
        <f>'Численность 2016'!AP148</f>
        <v>0</v>
      </c>
      <c r="AU23" s="142">
        <f t="shared" si="35"/>
        <v>0</v>
      </c>
      <c r="AV23" s="1006">
        <f t="shared" si="15"/>
        <v>35718.379999999997</v>
      </c>
      <c r="AW23" s="897">
        <f>'Численность 2016'!AS148</f>
        <v>0</v>
      </c>
      <c r="AX23" s="142">
        <f t="shared" si="36"/>
        <v>0</v>
      </c>
      <c r="AY23" s="143">
        <f t="shared" si="37"/>
        <v>27588860.93</v>
      </c>
      <c r="AZ23" s="1012">
        <f>'Численность 2016'!AV144</f>
        <v>1.208</v>
      </c>
      <c r="BA23" s="1006">
        <f t="shared" si="16"/>
        <v>65258.22</v>
      </c>
      <c r="BB23" s="897">
        <f>'Численность 2016'!AX148</f>
        <v>0</v>
      </c>
      <c r="BC23" s="1006">
        <f t="shared" si="17"/>
        <v>81192.94</v>
      </c>
      <c r="BD23" s="897">
        <f>'Численность 2016'!AZ148</f>
        <v>0</v>
      </c>
      <c r="BE23" s="1006">
        <f t="shared" si="18"/>
        <v>77353.2</v>
      </c>
      <c r="BF23" s="897">
        <f>'Численность 2016'!BB148</f>
        <v>0</v>
      </c>
      <c r="BG23" s="142">
        <f t="shared" si="38"/>
        <v>0</v>
      </c>
      <c r="BH23" s="1006">
        <f t="shared" si="19"/>
        <v>77787.27</v>
      </c>
      <c r="BI23" s="897">
        <f>'Численность 2016'!BE148</f>
        <v>0</v>
      </c>
      <c r="BJ23" s="1006">
        <f t="shared" si="20"/>
        <v>96908.93</v>
      </c>
      <c r="BK23" s="897">
        <f>'Численность 2016'!BG148</f>
        <v>0</v>
      </c>
      <c r="BL23" s="142">
        <f t="shared" si="39"/>
        <v>0</v>
      </c>
      <c r="BM23" s="144">
        <f t="shared" si="40"/>
        <v>0</v>
      </c>
      <c r="BN23" s="1006">
        <f t="shared" si="21"/>
        <v>25708.01</v>
      </c>
      <c r="BO23" s="897">
        <f>'Численность 2016'!BK148</f>
        <v>0</v>
      </c>
      <c r="BP23" s="1006">
        <f t="shared" si="22"/>
        <v>27763.9</v>
      </c>
      <c r="BQ23" s="897">
        <f>'Численность 2016'!BM148</f>
        <v>0</v>
      </c>
      <c r="BR23" s="1006">
        <f t="shared" si="23"/>
        <v>23851.91</v>
      </c>
      <c r="BS23" s="897">
        <f>'Численность 2016'!BO148</f>
        <v>0</v>
      </c>
      <c r="BT23" s="144">
        <f t="shared" si="41"/>
        <v>0</v>
      </c>
      <c r="BU23" s="1006">
        <f t="shared" si="24"/>
        <v>42444.76</v>
      </c>
      <c r="BV23" s="897">
        <f>'Численность 2016'!BR148</f>
        <v>0</v>
      </c>
      <c r="BW23" s="1006">
        <f t="shared" si="25"/>
        <v>46158.78</v>
      </c>
      <c r="BX23" s="897">
        <f>'Численность 2016'!BT148</f>
        <v>0</v>
      </c>
      <c r="BY23" s="1006">
        <f t="shared" si="26"/>
        <v>39091.67</v>
      </c>
      <c r="BZ23" s="897">
        <f>'Численность 2016'!BV148</f>
        <v>0</v>
      </c>
      <c r="CA23" s="144">
        <f t="shared" si="42"/>
        <v>0</v>
      </c>
      <c r="CB23" s="146">
        <f t="shared" si="48"/>
        <v>33327344</v>
      </c>
      <c r="CC23" s="1007">
        <f>'старое не смотреть'!F235</f>
        <v>80055021.590000004</v>
      </c>
      <c r="CD23" s="999">
        <f t="shared" si="43"/>
        <v>113382365.59</v>
      </c>
      <c r="CE23" s="1000">
        <f t="shared" si="49"/>
        <v>113382365.59</v>
      </c>
      <c r="CF23" s="1001">
        <v>113391837.31999999</v>
      </c>
      <c r="CG23" s="1002">
        <f t="shared" si="44"/>
        <v>-9471.7299999892712</v>
      </c>
      <c r="CH23" s="1003"/>
      <c r="CI23" s="1004">
        <f t="shared" si="45"/>
        <v>2025075</v>
      </c>
      <c r="CJ23" s="1005">
        <f>'[1]Свод ФОТ 2016'!BY217</f>
        <v>1986876</v>
      </c>
      <c r="CK23" s="1004">
        <f t="shared" si="46"/>
        <v>4011951</v>
      </c>
      <c r="CL23" s="1004">
        <f t="shared" si="47"/>
        <v>109370414.59</v>
      </c>
      <c r="CM23" s="433">
        <v>113382365.59</v>
      </c>
      <c r="CO23" s="740"/>
    </row>
    <row r="24" spans="1:94" ht="16.5">
      <c r="A24" s="122" t="s">
        <v>777</v>
      </c>
      <c r="B24" s="992" t="s">
        <v>240</v>
      </c>
      <c r="C24" s="993">
        <f t="shared" si="27"/>
        <v>33</v>
      </c>
      <c r="D24" s="732">
        <v>1073</v>
      </c>
      <c r="E24" s="994">
        <f t="shared" si="28"/>
        <v>1106</v>
      </c>
      <c r="F24" s="995">
        <f>'[1]ФОТ 2016 29.02.16'!C246</f>
        <v>1106</v>
      </c>
      <c r="G24" s="995">
        <f t="shared" si="29"/>
        <v>0</v>
      </c>
      <c r="H24" s="1006">
        <f t="shared" si="0"/>
        <v>31250.82</v>
      </c>
      <c r="I24" s="897">
        <f>'Численность 2016'!E150</f>
        <v>0</v>
      </c>
      <c r="J24" s="1006">
        <f t="shared" si="0"/>
        <v>38535.26</v>
      </c>
      <c r="K24" s="897">
        <f>'Численность 2016'!G150</f>
        <v>0</v>
      </c>
      <c r="L24" s="1006">
        <f t="shared" si="0"/>
        <v>36779.949999999997</v>
      </c>
      <c r="M24" s="897">
        <f>'Численность 2016'!I150</f>
        <v>0</v>
      </c>
      <c r="N24" s="142">
        <f t="shared" si="30"/>
        <v>0</v>
      </c>
      <c r="O24" s="1006">
        <f t="shared" si="1"/>
        <v>35546.49</v>
      </c>
      <c r="P24" s="897">
        <f>'Численность 2016'!L150</f>
        <v>0</v>
      </c>
      <c r="Q24" s="1006">
        <f t="shared" si="2"/>
        <v>43923.6</v>
      </c>
      <c r="R24" s="897">
        <f>'Численность 2016'!N150</f>
        <v>0</v>
      </c>
      <c r="S24" s="1006">
        <f t="shared" si="3"/>
        <v>41904.99</v>
      </c>
      <c r="T24" s="897">
        <f>'Численность 2016'!P150</f>
        <v>0</v>
      </c>
      <c r="U24" s="142">
        <f t="shared" si="31"/>
        <v>0</v>
      </c>
      <c r="V24" s="1006">
        <f t="shared" si="4"/>
        <v>41274.050000000003</v>
      </c>
      <c r="W24" s="897">
        <f>'Численность 2016'!S150</f>
        <v>0</v>
      </c>
      <c r="X24" s="1006">
        <f t="shared" si="5"/>
        <v>51108.05</v>
      </c>
      <c r="Y24" s="897">
        <f>'Численность 2016'!U150</f>
        <v>0</v>
      </c>
      <c r="Z24" s="1006">
        <f t="shared" si="6"/>
        <v>48738.38</v>
      </c>
      <c r="AA24" s="897">
        <f>'Численность 2016'!W150</f>
        <v>0</v>
      </c>
      <c r="AB24" s="142">
        <f t="shared" si="32"/>
        <v>0</v>
      </c>
      <c r="AC24" s="1006">
        <f t="shared" si="7"/>
        <v>45569.73</v>
      </c>
      <c r="AD24" s="897">
        <f>'Численность 2016'!Z150</f>
        <v>0</v>
      </c>
      <c r="AE24" s="1006">
        <f t="shared" si="8"/>
        <v>56496.39</v>
      </c>
      <c r="AF24" s="897">
        <f>'Численность 2016'!AB150</f>
        <v>0</v>
      </c>
      <c r="AG24" s="142">
        <f t="shared" si="33"/>
        <v>0</v>
      </c>
      <c r="AH24" s="1006">
        <f t="shared" si="9"/>
        <v>54161.08</v>
      </c>
      <c r="AI24" s="897">
        <f>'Численность 2016'!AE150</f>
        <v>0</v>
      </c>
      <c r="AJ24" s="1006">
        <f t="shared" si="10"/>
        <v>67273.070000000007</v>
      </c>
      <c r="AK24" s="897">
        <f>'Численность 2016'!AG150</f>
        <v>0</v>
      </c>
      <c r="AL24" s="1006">
        <f t="shared" si="11"/>
        <v>64113.51</v>
      </c>
      <c r="AM24" s="897">
        <f>'Численность 2016'!AI150</f>
        <v>0</v>
      </c>
      <c r="AN24" s="142">
        <f t="shared" si="34"/>
        <v>0</v>
      </c>
      <c r="AO24" s="1006">
        <f t="shared" si="12"/>
        <v>29360.82</v>
      </c>
      <c r="AP24" s="897">
        <f>'Численность 2016'!AL150</f>
        <v>0</v>
      </c>
      <c r="AQ24" s="1006">
        <f t="shared" si="13"/>
        <v>36645.26</v>
      </c>
      <c r="AR24" s="897">
        <f>'Численность 2016'!AN150</f>
        <v>0</v>
      </c>
      <c r="AS24" s="1006">
        <f t="shared" si="14"/>
        <v>34889.949999999997</v>
      </c>
      <c r="AT24" s="897">
        <f>'Численность 2016'!AP150</f>
        <v>0</v>
      </c>
      <c r="AU24" s="142">
        <f t="shared" si="35"/>
        <v>0</v>
      </c>
      <c r="AV24" s="1006">
        <f t="shared" si="15"/>
        <v>35718.379999999997</v>
      </c>
      <c r="AW24" s="897">
        <f>'Численность 2016'!AS150</f>
        <v>0</v>
      </c>
      <c r="AX24" s="142">
        <f t="shared" si="36"/>
        <v>0</v>
      </c>
      <c r="AY24" s="143">
        <f t="shared" si="37"/>
        <v>0</v>
      </c>
      <c r="AZ24" s="1014">
        <v>0</v>
      </c>
      <c r="BA24" s="1006">
        <f t="shared" si="16"/>
        <v>65258.22</v>
      </c>
      <c r="BB24" s="897">
        <f>'Численность 2016'!AX150</f>
        <v>0</v>
      </c>
      <c r="BC24" s="1006">
        <f t="shared" si="17"/>
        <v>81192.94</v>
      </c>
      <c r="BD24" s="897">
        <f>'Численность 2016'!AZ150</f>
        <v>0</v>
      </c>
      <c r="BE24" s="1006">
        <f t="shared" si="18"/>
        <v>77353.2</v>
      </c>
      <c r="BF24" s="897">
        <f>'Численность 2016'!BB150</f>
        <v>0</v>
      </c>
      <c r="BG24" s="142">
        <f t="shared" si="38"/>
        <v>0</v>
      </c>
      <c r="BH24" s="1006">
        <f t="shared" si="19"/>
        <v>77787.27</v>
      </c>
      <c r="BI24" s="897">
        <f>'Численность 2016'!BE150</f>
        <v>0</v>
      </c>
      <c r="BJ24" s="1006">
        <f t="shared" si="20"/>
        <v>96908.93</v>
      </c>
      <c r="BK24" s="897">
        <f>'Численность 2016'!BG150</f>
        <v>0</v>
      </c>
      <c r="BL24" s="142">
        <f t="shared" si="39"/>
        <v>0</v>
      </c>
      <c r="BM24" s="144">
        <f t="shared" si="40"/>
        <v>0</v>
      </c>
      <c r="BN24" s="1006">
        <f t="shared" si="21"/>
        <v>25708.01</v>
      </c>
      <c r="BO24" s="897">
        <f>'Численность 2016'!BK150</f>
        <v>0</v>
      </c>
      <c r="BP24" s="1006">
        <f t="shared" si="22"/>
        <v>27763.9</v>
      </c>
      <c r="BQ24" s="897">
        <f>'Численность 2016'!BM150</f>
        <v>0</v>
      </c>
      <c r="BR24" s="1006">
        <f t="shared" si="23"/>
        <v>23851.91</v>
      </c>
      <c r="BS24" s="897">
        <f>'Численность 2016'!BO150</f>
        <v>0</v>
      </c>
      <c r="BT24" s="144">
        <f t="shared" si="41"/>
        <v>0</v>
      </c>
      <c r="BU24" s="1006">
        <f t="shared" si="24"/>
        <v>42444.76</v>
      </c>
      <c r="BV24" s="897">
        <f>'Численность 2016'!BR150</f>
        <v>0</v>
      </c>
      <c r="BW24" s="1006">
        <f t="shared" si="25"/>
        <v>46158.78</v>
      </c>
      <c r="BX24" s="897">
        <f>'Численность 2016'!BT150</f>
        <v>0</v>
      </c>
      <c r="BY24" s="1006">
        <f t="shared" si="26"/>
        <v>39091.67</v>
      </c>
      <c r="BZ24" s="897">
        <f>'Численность 2016'!BV150</f>
        <v>0</v>
      </c>
      <c r="CA24" s="144">
        <f t="shared" si="42"/>
        <v>0</v>
      </c>
      <c r="CB24" s="146">
        <f t="shared" si="48"/>
        <v>0</v>
      </c>
      <c r="CC24" s="1007">
        <f>'старое не смотреть'!F249</f>
        <v>115159011.47</v>
      </c>
      <c r="CD24" s="999">
        <f t="shared" si="43"/>
        <v>115159011.47</v>
      </c>
      <c r="CE24" s="1000">
        <f t="shared" si="49"/>
        <v>115159011.47</v>
      </c>
      <c r="CF24" s="1001">
        <v>110291261.98999999</v>
      </c>
      <c r="CG24" s="1009">
        <f t="shared" si="44"/>
        <v>4867749.4800000042</v>
      </c>
      <c r="CH24" s="1003"/>
      <c r="CI24" s="1004">
        <f t="shared" si="45"/>
        <v>0</v>
      </c>
      <c r="CJ24" s="1005">
        <f>'[1]Свод ФОТ 2016'!BY231</f>
        <v>4332000</v>
      </c>
      <c r="CK24" s="1004">
        <f t="shared" si="46"/>
        <v>4332000</v>
      </c>
      <c r="CL24" s="1004">
        <f t="shared" si="47"/>
        <v>110827011.47</v>
      </c>
      <c r="CM24" s="433">
        <v>115159011.47</v>
      </c>
      <c r="CO24" s="433"/>
    </row>
    <row r="25" spans="1:94" ht="16.5">
      <c r="A25" s="122" t="s">
        <v>778</v>
      </c>
      <c r="B25" s="992" t="s">
        <v>241</v>
      </c>
      <c r="C25" s="993">
        <f t="shared" si="27"/>
        <v>96</v>
      </c>
      <c r="D25" s="732">
        <v>1504</v>
      </c>
      <c r="E25" s="994">
        <f t="shared" si="28"/>
        <v>1600</v>
      </c>
      <c r="F25" s="995">
        <f>'[1]ФОТ 2016 29.02.16'!C260</f>
        <v>1457</v>
      </c>
      <c r="G25" s="995">
        <f t="shared" si="29"/>
        <v>143</v>
      </c>
      <c r="H25" s="1006">
        <f t="shared" si="0"/>
        <v>31250.82</v>
      </c>
      <c r="I25" s="897">
        <f>'Численность 2016'!E155</f>
        <v>62</v>
      </c>
      <c r="J25" s="1006">
        <f t="shared" si="0"/>
        <v>38535.26</v>
      </c>
      <c r="K25" s="897">
        <f>'Численность 2016'!G155</f>
        <v>51</v>
      </c>
      <c r="L25" s="1006">
        <f t="shared" si="0"/>
        <v>36779.949999999997</v>
      </c>
      <c r="M25" s="897">
        <f>'Численность 2016'!I155</f>
        <v>9</v>
      </c>
      <c r="N25" s="142">
        <f t="shared" si="30"/>
        <v>4233868.6500000004</v>
      </c>
      <c r="O25" s="1006">
        <f t="shared" si="1"/>
        <v>35546.49</v>
      </c>
      <c r="P25" s="897">
        <f>'Численность 2016'!L155</f>
        <v>0</v>
      </c>
      <c r="Q25" s="1006">
        <f t="shared" si="2"/>
        <v>43923.6</v>
      </c>
      <c r="R25" s="897">
        <f>'Численность 2016'!N155</f>
        <v>0</v>
      </c>
      <c r="S25" s="1006">
        <f t="shared" si="3"/>
        <v>41904.99</v>
      </c>
      <c r="T25" s="897">
        <f>'Численность 2016'!P155</f>
        <v>0</v>
      </c>
      <c r="U25" s="142">
        <f t="shared" si="31"/>
        <v>0</v>
      </c>
      <c r="V25" s="1006">
        <f t="shared" si="4"/>
        <v>41274.050000000003</v>
      </c>
      <c r="W25" s="897">
        <f>'Численность 2016'!S155</f>
        <v>0</v>
      </c>
      <c r="X25" s="1006">
        <f t="shared" si="5"/>
        <v>51108.05</v>
      </c>
      <c r="Y25" s="897">
        <f>'Численность 2016'!U155</f>
        <v>0</v>
      </c>
      <c r="Z25" s="1006">
        <f t="shared" si="6"/>
        <v>48738.38</v>
      </c>
      <c r="AA25" s="897">
        <f>'Численность 2016'!W155</f>
        <v>0</v>
      </c>
      <c r="AB25" s="142">
        <f t="shared" si="32"/>
        <v>0</v>
      </c>
      <c r="AC25" s="1006">
        <f t="shared" si="7"/>
        <v>45569.73</v>
      </c>
      <c r="AD25" s="897">
        <f>'Численность 2016'!Z155</f>
        <v>0</v>
      </c>
      <c r="AE25" s="1006">
        <f t="shared" si="8"/>
        <v>56496.39</v>
      </c>
      <c r="AF25" s="897">
        <f>'Численность 2016'!AB155</f>
        <v>0</v>
      </c>
      <c r="AG25" s="142">
        <f t="shared" si="33"/>
        <v>0</v>
      </c>
      <c r="AH25" s="1006">
        <f t="shared" si="9"/>
        <v>54161.08</v>
      </c>
      <c r="AI25" s="897">
        <f>'Численность 2016'!AE155</f>
        <v>0</v>
      </c>
      <c r="AJ25" s="1006">
        <f t="shared" si="10"/>
        <v>67273.070000000007</v>
      </c>
      <c r="AK25" s="897">
        <f>'Численность 2016'!AG155</f>
        <v>1</v>
      </c>
      <c r="AL25" s="1006">
        <f t="shared" si="11"/>
        <v>64113.51</v>
      </c>
      <c r="AM25" s="897">
        <f>'Численность 2016'!AI155</f>
        <v>0</v>
      </c>
      <c r="AN25" s="142">
        <f t="shared" si="34"/>
        <v>67273.070000000007</v>
      </c>
      <c r="AO25" s="1006">
        <f t="shared" si="12"/>
        <v>29360.82</v>
      </c>
      <c r="AP25" s="897">
        <f>'Численность 2016'!AL155</f>
        <v>0</v>
      </c>
      <c r="AQ25" s="1006">
        <f t="shared" si="13"/>
        <v>36645.26</v>
      </c>
      <c r="AR25" s="897">
        <f>'Численность 2016'!AN155</f>
        <v>0</v>
      </c>
      <c r="AS25" s="1006">
        <f t="shared" si="14"/>
        <v>34889.949999999997</v>
      </c>
      <c r="AT25" s="897">
        <f>'Численность 2016'!AP155</f>
        <v>0</v>
      </c>
      <c r="AU25" s="142">
        <f t="shared" si="35"/>
        <v>0</v>
      </c>
      <c r="AV25" s="1006">
        <f t="shared" si="15"/>
        <v>35718.379999999997</v>
      </c>
      <c r="AW25" s="897">
        <f>'Численность 2016'!AS155</f>
        <v>20</v>
      </c>
      <c r="AX25" s="142">
        <f t="shared" si="36"/>
        <v>714367.6</v>
      </c>
      <c r="AY25" s="143">
        <f t="shared" si="37"/>
        <v>5015509.32</v>
      </c>
      <c r="AZ25" s="1013">
        <f>'Численность 2016'!AV151</f>
        <v>2.073</v>
      </c>
      <c r="BA25" s="1006">
        <f t="shared" si="16"/>
        <v>65258.22</v>
      </c>
      <c r="BB25" s="897">
        <f>'Численность 2016'!AX155</f>
        <v>0</v>
      </c>
      <c r="BC25" s="1006">
        <f t="shared" si="17"/>
        <v>81192.94</v>
      </c>
      <c r="BD25" s="897">
        <f>'Численность 2016'!AZ155</f>
        <v>0</v>
      </c>
      <c r="BE25" s="1006">
        <f t="shared" si="18"/>
        <v>77353.2</v>
      </c>
      <c r="BF25" s="897">
        <f>'Численность 2016'!BB155</f>
        <v>0</v>
      </c>
      <c r="BG25" s="142">
        <f t="shared" si="38"/>
        <v>0</v>
      </c>
      <c r="BH25" s="1006">
        <f t="shared" si="19"/>
        <v>77787.27</v>
      </c>
      <c r="BI25" s="897">
        <f>'Численность 2016'!BE155</f>
        <v>0</v>
      </c>
      <c r="BJ25" s="1006">
        <f t="shared" si="20"/>
        <v>96908.93</v>
      </c>
      <c r="BK25" s="897">
        <f>'Численность 2016'!BG155</f>
        <v>0</v>
      </c>
      <c r="BL25" s="142">
        <f t="shared" si="39"/>
        <v>0</v>
      </c>
      <c r="BM25" s="144">
        <f t="shared" si="40"/>
        <v>0</v>
      </c>
      <c r="BN25" s="1006">
        <f t="shared" si="21"/>
        <v>25708.01</v>
      </c>
      <c r="BO25" s="897">
        <f>'Численность 2016'!BK155</f>
        <v>0</v>
      </c>
      <c r="BP25" s="1006">
        <f t="shared" si="22"/>
        <v>27763.9</v>
      </c>
      <c r="BQ25" s="897">
        <f>'Численность 2016'!BM155</f>
        <v>0</v>
      </c>
      <c r="BR25" s="1006">
        <f t="shared" si="23"/>
        <v>23851.91</v>
      </c>
      <c r="BS25" s="897">
        <f>'Численность 2016'!BO155</f>
        <v>0</v>
      </c>
      <c r="BT25" s="144">
        <f t="shared" si="41"/>
        <v>0</v>
      </c>
      <c r="BU25" s="1006">
        <f t="shared" si="24"/>
        <v>42444.76</v>
      </c>
      <c r="BV25" s="897">
        <f>'Численность 2016'!BR155</f>
        <v>0</v>
      </c>
      <c r="BW25" s="1006">
        <f t="shared" si="25"/>
        <v>46158.78</v>
      </c>
      <c r="BX25" s="897">
        <f>'Численность 2016'!BT155</f>
        <v>0</v>
      </c>
      <c r="BY25" s="1006">
        <f t="shared" si="26"/>
        <v>39091.67</v>
      </c>
      <c r="BZ25" s="897">
        <f>'Численность 2016'!BV155</f>
        <v>0</v>
      </c>
      <c r="CA25" s="144">
        <f t="shared" si="42"/>
        <v>0</v>
      </c>
      <c r="CB25" s="146">
        <f t="shared" si="48"/>
        <v>10397150.82</v>
      </c>
      <c r="CC25" s="1007">
        <f>'старое не смотреть'!F263</f>
        <v>127455832.34999999</v>
      </c>
      <c r="CD25" s="999">
        <f t="shared" si="43"/>
        <v>137852983.16999999</v>
      </c>
      <c r="CE25" s="1000">
        <f t="shared" si="49"/>
        <v>137852983.16999999</v>
      </c>
      <c r="CF25" s="1001">
        <v>137850851</v>
      </c>
      <c r="CG25" s="1002">
        <f t="shared" si="44"/>
        <v>2132.169999986887</v>
      </c>
      <c r="CH25" s="1194" t="s">
        <v>822</v>
      </c>
      <c r="CI25" s="897">
        <f t="shared" si="45"/>
        <v>348459</v>
      </c>
      <c r="CJ25" s="1179">
        <f>'[1]Свод ФОТ 2016'!BY244</f>
        <v>3613600</v>
      </c>
      <c r="CK25" s="897">
        <f t="shared" si="46"/>
        <v>3962059</v>
      </c>
      <c r="CL25" s="897">
        <f t="shared" si="47"/>
        <v>133890924.16999999</v>
      </c>
      <c r="CM25" s="433">
        <v>137852983.16999999</v>
      </c>
      <c r="CN25" s="1179"/>
      <c r="CO25" s="897"/>
    </row>
    <row r="26" spans="1:94" s="1011" customFormat="1" ht="16.5">
      <c r="A26" s="122" t="s">
        <v>779</v>
      </c>
      <c r="B26" s="992" t="s">
        <v>250</v>
      </c>
      <c r="C26" s="993">
        <f t="shared" si="27"/>
        <v>-29</v>
      </c>
      <c r="D26" s="732">
        <v>1939</v>
      </c>
      <c r="E26" s="994">
        <f t="shared" si="28"/>
        <v>1910</v>
      </c>
      <c r="F26" s="995">
        <f>'[1]ФОТ 2016 29.02.16'!C278</f>
        <v>1071</v>
      </c>
      <c r="G26" s="995">
        <f t="shared" si="29"/>
        <v>839</v>
      </c>
      <c r="H26" s="1006">
        <f t="shared" si="0"/>
        <v>31250.82</v>
      </c>
      <c r="I26" s="897">
        <f>'Численность 2016'!E159</f>
        <v>217</v>
      </c>
      <c r="J26" s="1006">
        <f t="shared" si="0"/>
        <v>38535.26</v>
      </c>
      <c r="K26" s="897">
        <f>'Численность 2016'!G159</f>
        <v>244</v>
      </c>
      <c r="L26" s="1006">
        <f t="shared" si="0"/>
        <v>36779.949999999997</v>
      </c>
      <c r="M26" s="897">
        <f>'Численность 2016'!I159</f>
        <v>31</v>
      </c>
      <c r="N26" s="142">
        <f t="shared" si="30"/>
        <v>17324209.829999998</v>
      </c>
      <c r="O26" s="1006">
        <f t="shared" si="1"/>
        <v>35546.49</v>
      </c>
      <c r="P26" s="897">
        <f>'Численность 2016'!L159</f>
        <v>0</v>
      </c>
      <c r="Q26" s="1006">
        <f t="shared" si="2"/>
        <v>43923.6</v>
      </c>
      <c r="R26" s="897">
        <f>'Численность 2016'!N159</f>
        <v>0</v>
      </c>
      <c r="S26" s="1006">
        <f t="shared" si="3"/>
        <v>41904.99</v>
      </c>
      <c r="T26" s="897">
        <f>'Численность 2016'!P159</f>
        <v>0</v>
      </c>
      <c r="U26" s="142">
        <f t="shared" si="31"/>
        <v>0</v>
      </c>
      <c r="V26" s="1006">
        <f t="shared" si="4"/>
        <v>41274.050000000003</v>
      </c>
      <c r="W26" s="897">
        <f>'Численность 2016'!S159</f>
        <v>142</v>
      </c>
      <c r="X26" s="1006">
        <f t="shared" si="5"/>
        <v>51108.05</v>
      </c>
      <c r="Y26" s="897">
        <f>'Численность 2016'!U159</f>
        <v>152</v>
      </c>
      <c r="Z26" s="1006">
        <f t="shared" si="6"/>
        <v>48738.38</v>
      </c>
      <c r="AA26" s="897">
        <f>'Численность 2016'!W159</f>
        <v>36</v>
      </c>
      <c r="AB26" s="142">
        <f t="shared" si="32"/>
        <v>15383920.380000001</v>
      </c>
      <c r="AC26" s="1006">
        <f t="shared" si="7"/>
        <v>45569.73</v>
      </c>
      <c r="AD26" s="897">
        <f>'Численность 2016'!Z159</f>
        <v>0</v>
      </c>
      <c r="AE26" s="1006">
        <f t="shared" si="8"/>
        <v>56496.39</v>
      </c>
      <c r="AF26" s="897">
        <f>'Численность 2016'!AB159</f>
        <v>0</v>
      </c>
      <c r="AG26" s="142">
        <f t="shared" si="33"/>
        <v>0</v>
      </c>
      <c r="AH26" s="1006">
        <f t="shared" si="9"/>
        <v>54161.08</v>
      </c>
      <c r="AI26" s="897">
        <f>'Численность 2016'!AE159</f>
        <v>6</v>
      </c>
      <c r="AJ26" s="1006">
        <f t="shared" si="10"/>
        <v>67273.070000000007</v>
      </c>
      <c r="AK26" s="897">
        <f>'Численность 2016'!AG159</f>
        <v>7</v>
      </c>
      <c r="AL26" s="1006">
        <f t="shared" si="11"/>
        <v>64113.51</v>
      </c>
      <c r="AM26" s="897">
        <f>'Численность 2016'!AI159</f>
        <v>0</v>
      </c>
      <c r="AN26" s="142">
        <f t="shared" si="34"/>
        <v>795877.97</v>
      </c>
      <c r="AO26" s="1006">
        <f t="shared" si="12"/>
        <v>29360.82</v>
      </c>
      <c r="AP26" s="897">
        <f>'Численность 2016'!AL159</f>
        <v>0</v>
      </c>
      <c r="AQ26" s="1006">
        <f t="shared" si="13"/>
        <v>36645.26</v>
      </c>
      <c r="AR26" s="897">
        <f>'Численность 2016'!AN159</f>
        <v>0</v>
      </c>
      <c r="AS26" s="1006">
        <f t="shared" si="14"/>
        <v>34889.949999999997</v>
      </c>
      <c r="AT26" s="897">
        <f>'Численность 2016'!AP159</f>
        <v>0</v>
      </c>
      <c r="AU26" s="142">
        <f t="shared" si="35"/>
        <v>0</v>
      </c>
      <c r="AV26" s="1006">
        <f t="shared" si="15"/>
        <v>35718.379999999997</v>
      </c>
      <c r="AW26" s="897">
        <f>'Численность 2016'!AS159</f>
        <v>0</v>
      </c>
      <c r="AX26" s="142">
        <f t="shared" si="36"/>
        <v>0</v>
      </c>
      <c r="AY26" s="143">
        <f t="shared" si="37"/>
        <v>33504008.18</v>
      </c>
      <c r="AZ26" s="1013">
        <f>'Численность 2016'!AV156</f>
        <v>1.1459999999999999</v>
      </c>
      <c r="BA26" s="1006">
        <f t="shared" si="16"/>
        <v>65258.22</v>
      </c>
      <c r="BB26" s="897">
        <f>'Численность 2016'!AX159</f>
        <v>0</v>
      </c>
      <c r="BC26" s="1006">
        <f t="shared" si="17"/>
        <v>81192.94</v>
      </c>
      <c r="BD26" s="897">
        <f>'Численность 2016'!AZ159</f>
        <v>0</v>
      </c>
      <c r="BE26" s="1006">
        <f t="shared" si="18"/>
        <v>77353.2</v>
      </c>
      <c r="BF26" s="897">
        <f>'Численность 2016'!BB159</f>
        <v>0</v>
      </c>
      <c r="BG26" s="142">
        <f t="shared" si="38"/>
        <v>0</v>
      </c>
      <c r="BH26" s="1006">
        <f t="shared" si="19"/>
        <v>77787.27</v>
      </c>
      <c r="BI26" s="897">
        <f>'Численность 2016'!BE159</f>
        <v>0</v>
      </c>
      <c r="BJ26" s="1006">
        <f t="shared" si="20"/>
        <v>96908.93</v>
      </c>
      <c r="BK26" s="897">
        <f>'Численность 2016'!BG159</f>
        <v>0</v>
      </c>
      <c r="BL26" s="142">
        <f t="shared" si="39"/>
        <v>0</v>
      </c>
      <c r="BM26" s="144">
        <f t="shared" si="40"/>
        <v>0</v>
      </c>
      <c r="BN26" s="1006">
        <f t="shared" si="21"/>
        <v>25708.01</v>
      </c>
      <c r="BO26" s="897">
        <f>'Численность 2016'!BK159</f>
        <v>0</v>
      </c>
      <c r="BP26" s="1006">
        <f t="shared" si="22"/>
        <v>27763.9</v>
      </c>
      <c r="BQ26" s="897">
        <f>'Численность 2016'!BM159</f>
        <v>4</v>
      </c>
      <c r="BR26" s="1006">
        <f t="shared" si="23"/>
        <v>23851.91</v>
      </c>
      <c r="BS26" s="897">
        <f>'Численность 2016'!BO159</f>
        <v>0</v>
      </c>
      <c r="BT26" s="144">
        <f t="shared" si="41"/>
        <v>111055.6</v>
      </c>
      <c r="BU26" s="1006">
        <f t="shared" si="24"/>
        <v>42444.76</v>
      </c>
      <c r="BV26" s="897">
        <f>'Численность 2016'!BR159</f>
        <v>0</v>
      </c>
      <c r="BW26" s="1006">
        <f t="shared" si="25"/>
        <v>46158.78</v>
      </c>
      <c r="BX26" s="897">
        <f>'Численность 2016'!BT159</f>
        <v>0</v>
      </c>
      <c r="BY26" s="1006">
        <f t="shared" si="26"/>
        <v>39091.67</v>
      </c>
      <c r="BZ26" s="897">
        <f>'Численность 2016'!BV159</f>
        <v>0</v>
      </c>
      <c r="CA26" s="144">
        <f t="shared" si="42"/>
        <v>0</v>
      </c>
      <c r="CB26" s="146">
        <f t="shared" si="48"/>
        <v>38506648.969999999</v>
      </c>
      <c r="CC26" s="1007">
        <f>'старое не смотреть'!F281</f>
        <v>118862703.92</v>
      </c>
      <c r="CD26" s="999">
        <f t="shared" si="43"/>
        <v>157369352.88999999</v>
      </c>
      <c r="CE26" s="1000">
        <f t="shared" si="49"/>
        <v>157369352.88999999</v>
      </c>
      <c r="CF26" s="1001">
        <v>152774313.63</v>
      </c>
      <c r="CG26" s="1009">
        <f t="shared" si="44"/>
        <v>4595039.2599999905</v>
      </c>
      <c r="CH26" s="1003"/>
      <c r="CI26" s="1004">
        <f t="shared" si="45"/>
        <v>2192307</v>
      </c>
      <c r="CJ26" s="1005">
        <f>'[1]Свод ФОТ 2016'!BY261</f>
        <v>5592348.5999999996</v>
      </c>
      <c r="CK26" s="1004">
        <f t="shared" si="46"/>
        <v>7784655.5999999996</v>
      </c>
      <c r="CL26" s="1004">
        <f t="shared" si="47"/>
        <v>149584697.28999999</v>
      </c>
      <c r="CM26" s="433">
        <v>157369352.88999999</v>
      </c>
      <c r="CO26" s="740"/>
    </row>
    <row r="27" spans="1:94" ht="16.5">
      <c r="A27" s="122" t="s">
        <v>780</v>
      </c>
      <c r="B27" s="992" t="s">
        <v>514</v>
      </c>
      <c r="C27" s="993">
        <f t="shared" si="27"/>
        <v>5</v>
      </c>
      <c r="D27" s="732">
        <v>1372</v>
      </c>
      <c r="E27" s="994">
        <f t="shared" si="28"/>
        <v>1377</v>
      </c>
      <c r="F27" s="995">
        <f>'[1]ФОТ 2016 29.02.16'!C289</f>
        <v>877</v>
      </c>
      <c r="G27" s="995">
        <f t="shared" si="29"/>
        <v>500</v>
      </c>
      <c r="H27" s="1006">
        <f t="shared" si="0"/>
        <v>31250.82</v>
      </c>
      <c r="I27" s="897">
        <f>'Численность 2016'!E165</f>
        <v>223</v>
      </c>
      <c r="J27" s="1006">
        <f t="shared" si="0"/>
        <v>38535.26</v>
      </c>
      <c r="K27" s="897">
        <f>'Численность 2016'!G165</f>
        <v>214</v>
      </c>
      <c r="L27" s="1006">
        <f t="shared" si="0"/>
        <v>36779.949999999997</v>
      </c>
      <c r="M27" s="897">
        <f>'Численность 2016'!I165</f>
        <v>46</v>
      </c>
      <c r="N27" s="142">
        <f t="shared" si="30"/>
        <v>16907356.199999999</v>
      </c>
      <c r="O27" s="1006">
        <f t="shared" si="1"/>
        <v>35546.49</v>
      </c>
      <c r="P27" s="897">
        <f>'Численность 2016'!L165</f>
        <v>0</v>
      </c>
      <c r="Q27" s="1006">
        <f t="shared" si="2"/>
        <v>43923.6</v>
      </c>
      <c r="R27" s="897">
        <f>'Численность 2016'!N165</f>
        <v>0</v>
      </c>
      <c r="S27" s="1006">
        <f t="shared" si="3"/>
        <v>41904.99</v>
      </c>
      <c r="T27" s="897">
        <f>'Численность 2016'!P165</f>
        <v>0</v>
      </c>
      <c r="U27" s="142">
        <f t="shared" si="31"/>
        <v>0</v>
      </c>
      <c r="V27" s="1006">
        <f t="shared" si="4"/>
        <v>41274.050000000003</v>
      </c>
      <c r="W27" s="897">
        <f>'Численность 2016'!S165</f>
        <v>0</v>
      </c>
      <c r="X27" s="1006">
        <f t="shared" si="5"/>
        <v>51108.05</v>
      </c>
      <c r="Y27" s="897">
        <f>'Численность 2016'!U165</f>
        <v>0</v>
      </c>
      <c r="Z27" s="1006">
        <f t="shared" si="6"/>
        <v>48738.38</v>
      </c>
      <c r="AA27" s="897">
        <f>'Численность 2016'!W165</f>
        <v>0</v>
      </c>
      <c r="AB27" s="142">
        <f t="shared" si="32"/>
        <v>0</v>
      </c>
      <c r="AC27" s="1006">
        <f t="shared" si="7"/>
        <v>45569.73</v>
      </c>
      <c r="AD27" s="897">
        <f>'Численность 2016'!Z165</f>
        <v>0</v>
      </c>
      <c r="AE27" s="1006">
        <f t="shared" si="8"/>
        <v>56496.39</v>
      </c>
      <c r="AF27" s="897">
        <f>'Численность 2016'!AB165</f>
        <v>0</v>
      </c>
      <c r="AG27" s="142">
        <f t="shared" si="33"/>
        <v>0</v>
      </c>
      <c r="AH27" s="1006">
        <f t="shared" si="9"/>
        <v>54161.08</v>
      </c>
      <c r="AI27" s="897">
        <f>'Численность 2016'!AE165</f>
        <v>6</v>
      </c>
      <c r="AJ27" s="1006">
        <f t="shared" si="10"/>
        <v>67273.070000000007</v>
      </c>
      <c r="AK27" s="897">
        <f>'Численность 2016'!AG165</f>
        <v>11</v>
      </c>
      <c r="AL27" s="1006">
        <f t="shared" si="11"/>
        <v>64113.51</v>
      </c>
      <c r="AM27" s="897">
        <f>'Численность 2016'!AI165</f>
        <v>0</v>
      </c>
      <c r="AN27" s="142">
        <f t="shared" si="34"/>
        <v>1064970.25</v>
      </c>
      <c r="AO27" s="1006">
        <f t="shared" si="12"/>
        <v>29360.82</v>
      </c>
      <c r="AP27" s="897">
        <f>'Численность 2016'!AL165</f>
        <v>0</v>
      </c>
      <c r="AQ27" s="1006">
        <f t="shared" si="13"/>
        <v>36645.26</v>
      </c>
      <c r="AR27" s="897">
        <f>'Численность 2016'!AN165</f>
        <v>0</v>
      </c>
      <c r="AS27" s="1006">
        <f t="shared" si="14"/>
        <v>34889.949999999997</v>
      </c>
      <c r="AT27" s="897">
        <f>'Численность 2016'!AP165</f>
        <v>0</v>
      </c>
      <c r="AU27" s="142">
        <f t="shared" si="35"/>
        <v>0</v>
      </c>
      <c r="AV27" s="1006">
        <f t="shared" si="15"/>
        <v>35718.379999999997</v>
      </c>
      <c r="AW27" s="897">
        <f>'Численность 2016'!AS165</f>
        <v>0</v>
      </c>
      <c r="AX27" s="142">
        <f t="shared" si="36"/>
        <v>0</v>
      </c>
      <c r="AY27" s="143">
        <f t="shared" si="37"/>
        <v>17972326.449999999</v>
      </c>
      <c r="AZ27" s="1013">
        <f>'Численность 2016'!AV160</f>
        <v>1.4910000000000001</v>
      </c>
      <c r="BA27" s="1006">
        <f t="shared" si="16"/>
        <v>65258.22</v>
      </c>
      <c r="BB27" s="897">
        <f>'Численность 2016'!AX165</f>
        <v>0</v>
      </c>
      <c r="BC27" s="1006">
        <f t="shared" si="17"/>
        <v>81192.94</v>
      </c>
      <c r="BD27" s="897">
        <f>'Численность 2016'!AZ165</f>
        <v>0</v>
      </c>
      <c r="BE27" s="1006">
        <f t="shared" si="18"/>
        <v>77353.2</v>
      </c>
      <c r="BF27" s="897">
        <f>'Численность 2016'!BB165</f>
        <v>0</v>
      </c>
      <c r="BG27" s="142">
        <f t="shared" si="38"/>
        <v>0</v>
      </c>
      <c r="BH27" s="1006">
        <f t="shared" si="19"/>
        <v>77787.27</v>
      </c>
      <c r="BI27" s="897">
        <f>'Численность 2016'!BE165</f>
        <v>0</v>
      </c>
      <c r="BJ27" s="1006">
        <f t="shared" si="20"/>
        <v>96908.93</v>
      </c>
      <c r="BK27" s="897">
        <f>'Численность 2016'!BG165</f>
        <v>0</v>
      </c>
      <c r="BL27" s="142">
        <f t="shared" si="39"/>
        <v>0</v>
      </c>
      <c r="BM27" s="144">
        <f t="shared" si="40"/>
        <v>0</v>
      </c>
      <c r="BN27" s="1006">
        <f t="shared" si="21"/>
        <v>25708.01</v>
      </c>
      <c r="BO27" s="897">
        <f>'Численность 2016'!BK165</f>
        <v>0</v>
      </c>
      <c r="BP27" s="1006">
        <f t="shared" si="22"/>
        <v>27763.9</v>
      </c>
      <c r="BQ27" s="897">
        <f>'Численность 2016'!BM165</f>
        <v>0</v>
      </c>
      <c r="BR27" s="1006">
        <f t="shared" si="23"/>
        <v>23851.91</v>
      </c>
      <c r="BS27" s="897">
        <f>'Численность 2016'!BO165</f>
        <v>0</v>
      </c>
      <c r="BT27" s="144">
        <f t="shared" si="41"/>
        <v>0</v>
      </c>
      <c r="BU27" s="1006">
        <f t="shared" si="24"/>
        <v>42444.76</v>
      </c>
      <c r="BV27" s="897">
        <f>'Численность 2016'!BR165</f>
        <v>0</v>
      </c>
      <c r="BW27" s="1006">
        <f t="shared" si="25"/>
        <v>46158.78</v>
      </c>
      <c r="BX27" s="897">
        <f>'Численность 2016'!BT165</f>
        <v>0</v>
      </c>
      <c r="BY27" s="1006">
        <f t="shared" si="26"/>
        <v>39091.67</v>
      </c>
      <c r="BZ27" s="897">
        <f>'Численность 2016'!BV165</f>
        <v>0</v>
      </c>
      <c r="CA27" s="144">
        <f t="shared" si="42"/>
        <v>0</v>
      </c>
      <c r="CB27" s="146">
        <f t="shared" si="48"/>
        <v>26796738.739999998</v>
      </c>
      <c r="CC27" s="1007">
        <f>'старое не смотреть'!F292</f>
        <v>68256151.210000008</v>
      </c>
      <c r="CD27" s="999">
        <f t="shared" si="43"/>
        <v>95052889.950000003</v>
      </c>
      <c r="CE27" s="1000">
        <f t="shared" si="49"/>
        <v>95052889.950000003</v>
      </c>
      <c r="CF27" s="1001">
        <v>94843957.730000004</v>
      </c>
      <c r="CG27" s="1002">
        <f t="shared" si="44"/>
        <v>208932.21999999881</v>
      </c>
      <c r="CH27" s="1003"/>
      <c r="CI27" s="1004">
        <f t="shared" si="45"/>
        <v>1306500</v>
      </c>
      <c r="CJ27" s="1005">
        <f>'[1]Свод ФОТ 2016'!BY271</f>
        <v>2383126.8200000003</v>
      </c>
      <c r="CK27" s="1004">
        <f t="shared" si="46"/>
        <v>3689626.8200000003</v>
      </c>
      <c r="CL27" s="1004">
        <f t="shared" si="47"/>
        <v>91363263.129999995</v>
      </c>
      <c r="CM27" s="433">
        <v>95052889.950000003</v>
      </c>
      <c r="CO27" s="433"/>
    </row>
    <row r="28" spans="1:94" ht="16.5">
      <c r="A28" s="122" t="s">
        <v>781</v>
      </c>
      <c r="B28" s="992" t="s">
        <v>267</v>
      </c>
      <c r="C28" s="993">
        <f t="shared" si="27"/>
        <v>-3</v>
      </c>
      <c r="D28" s="732">
        <v>877</v>
      </c>
      <c r="E28" s="994">
        <f t="shared" si="28"/>
        <v>874</v>
      </c>
      <c r="F28" s="995">
        <f>'[1]ФОТ 2016 29.02.16'!C300</f>
        <v>295</v>
      </c>
      <c r="G28" s="995">
        <f t="shared" si="29"/>
        <v>579</v>
      </c>
      <c r="H28" s="1006">
        <f t="shared" si="0"/>
        <v>31250.82</v>
      </c>
      <c r="I28" s="897">
        <f>'Численность 2016'!E170</f>
        <v>230</v>
      </c>
      <c r="J28" s="1006">
        <f t="shared" si="0"/>
        <v>38535.26</v>
      </c>
      <c r="K28" s="897">
        <f>'Численность 2016'!G170</f>
        <v>274</v>
      </c>
      <c r="L28" s="1006">
        <f t="shared" si="0"/>
        <v>36779.949999999997</v>
      </c>
      <c r="M28" s="897">
        <f>'Численность 2016'!I170</f>
        <v>55</v>
      </c>
      <c r="N28" s="142">
        <f t="shared" si="30"/>
        <v>19769247.09</v>
      </c>
      <c r="O28" s="1006">
        <f t="shared" si="1"/>
        <v>35546.49</v>
      </c>
      <c r="P28" s="897">
        <f>'Численность 2016'!L170</f>
        <v>0</v>
      </c>
      <c r="Q28" s="1006">
        <f t="shared" si="2"/>
        <v>43923.6</v>
      </c>
      <c r="R28" s="897">
        <f>'Численность 2016'!N170</f>
        <v>0</v>
      </c>
      <c r="S28" s="1006">
        <f t="shared" si="3"/>
        <v>41904.99</v>
      </c>
      <c r="T28" s="897">
        <f>'Численность 2016'!P170</f>
        <v>0</v>
      </c>
      <c r="U28" s="142">
        <f t="shared" si="31"/>
        <v>0</v>
      </c>
      <c r="V28" s="1006">
        <f t="shared" si="4"/>
        <v>41274.050000000003</v>
      </c>
      <c r="W28" s="897">
        <f>'Численность 2016'!S170</f>
        <v>0</v>
      </c>
      <c r="X28" s="1006">
        <f t="shared" si="5"/>
        <v>51108.05</v>
      </c>
      <c r="Y28" s="897">
        <f>'Численность 2016'!U170</f>
        <v>0</v>
      </c>
      <c r="Z28" s="1006">
        <f t="shared" si="6"/>
        <v>48738.38</v>
      </c>
      <c r="AA28" s="897">
        <f>'Численность 2016'!W170</f>
        <v>0</v>
      </c>
      <c r="AB28" s="142">
        <f t="shared" si="32"/>
        <v>0</v>
      </c>
      <c r="AC28" s="1006">
        <f t="shared" si="7"/>
        <v>45569.73</v>
      </c>
      <c r="AD28" s="897">
        <f>'Численность 2016'!Z170</f>
        <v>0</v>
      </c>
      <c r="AE28" s="1006">
        <f t="shared" si="8"/>
        <v>56496.39</v>
      </c>
      <c r="AF28" s="897">
        <f>'Численность 2016'!AB170</f>
        <v>0</v>
      </c>
      <c r="AG28" s="142">
        <f t="shared" si="33"/>
        <v>0</v>
      </c>
      <c r="AH28" s="1006">
        <f t="shared" si="9"/>
        <v>54161.08</v>
      </c>
      <c r="AI28" s="897">
        <f>'Численность 2016'!AE170</f>
        <v>6</v>
      </c>
      <c r="AJ28" s="1006">
        <f t="shared" si="10"/>
        <v>67273.070000000007</v>
      </c>
      <c r="AK28" s="897">
        <f>'Численность 2016'!AG170</f>
        <v>14</v>
      </c>
      <c r="AL28" s="1006">
        <f t="shared" si="11"/>
        <v>64113.51</v>
      </c>
      <c r="AM28" s="897">
        <f>'Численность 2016'!AI170</f>
        <v>0</v>
      </c>
      <c r="AN28" s="142">
        <f t="shared" si="34"/>
        <v>1266789.46</v>
      </c>
      <c r="AO28" s="1006">
        <f t="shared" si="12"/>
        <v>29360.82</v>
      </c>
      <c r="AP28" s="897">
        <f>'Численность 2016'!AL170</f>
        <v>0</v>
      </c>
      <c r="AQ28" s="1006">
        <f t="shared" si="13"/>
        <v>36645.26</v>
      </c>
      <c r="AR28" s="897">
        <f>'Численность 2016'!AN170</f>
        <v>0</v>
      </c>
      <c r="AS28" s="1006">
        <f t="shared" si="14"/>
        <v>34889.949999999997</v>
      </c>
      <c r="AT28" s="897">
        <f>'Численность 2016'!AP170</f>
        <v>0</v>
      </c>
      <c r="AU28" s="142">
        <f t="shared" si="35"/>
        <v>0</v>
      </c>
      <c r="AV28" s="1006">
        <f t="shared" si="15"/>
        <v>35718.379999999997</v>
      </c>
      <c r="AW28" s="897">
        <f>'Численность 2016'!AS170</f>
        <v>0</v>
      </c>
      <c r="AX28" s="142">
        <f t="shared" si="36"/>
        <v>0</v>
      </c>
      <c r="AY28" s="143">
        <f t="shared" si="37"/>
        <v>21036036.550000001</v>
      </c>
      <c r="AZ28" s="1012">
        <f>'Численность 2016'!AV166</f>
        <v>1.357</v>
      </c>
      <c r="BA28" s="1006">
        <f t="shared" si="16"/>
        <v>65258.22</v>
      </c>
      <c r="BB28" s="897">
        <f>'Численность 2016'!AX170</f>
        <v>0</v>
      </c>
      <c r="BC28" s="1006">
        <f t="shared" si="17"/>
        <v>81192.94</v>
      </c>
      <c r="BD28" s="897">
        <f>'Численность 2016'!AZ170</f>
        <v>0</v>
      </c>
      <c r="BE28" s="1006">
        <f t="shared" si="18"/>
        <v>77353.2</v>
      </c>
      <c r="BF28" s="897">
        <f>'Численность 2016'!BB170</f>
        <v>0</v>
      </c>
      <c r="BG28" s="142">
        <f t="shared" si="38"/>
        <v>0</v>
      </c>
      <c r="BH28" s="1006">
        <f t="shared" si="19"/>
        <v>77787.27</v>
      </c>
      <c r="BI28" s="897">
        <f>'Численность 2016'!BE170</f>
        <v>0</v>
      </c>
      <c r="BJ28" s="1006">
        <f t="shared" si="20"/>
        <v>96908.93</v>
      </c>
      <c r="BK28" s="897">
        <f>'Численность 2016'!BG170</f>
        <v>0</v>
      </c>
      <c r="BL28" s="142">
        <f t="shared" si="39"/>
        <v>0</v>
      </c>
      <c r="BM28" s="144">
        <f t="shared" si="40"/>
        <v>0</v>
      </c>
      <c r="BN28" s="1006">
        <f t="shared" si="21"/>
        <v>25708.01</v>
      </c>
      <c r="BO28" s="897">
        <f>'Численность 2016'!BK170</f>
        <v>0</v>
      </c>
      <c r="BP28" s="1006">
        <f t="shared" si="22"/>
        <v>27763.9</v>
      </c>
      <c r="BQ28" s="897">
        <f>'Численность 2016'!BM170</f>
        <v>0</v>
      </c>
      <c r="BR28" s="1006">
        <f t="shared" si="23"/>
        <v>23851.91</v>
      </c>
      <c r="BS28" s="897">
        <f>'Численность 2016'!BO170</f>
        <v>0</v>
      </c>
      <c r="BT28" s="144">
        <f t="shared" si="41"/>
        <v>0</v>
      </c>
      <c r="BU28" s="1006">
        <f t="shared" si="24"/>
        <v>42444.76</v>
      </c>
      <c r="BV28" s="897">
        <f>'Численность 2016'!BR170</f>
        <v>0</v>
      </c>
      <c r="BW28" s="1006">
        <f t="shared" si="25"/>
        <v>46158.78</v>
      </c>
      <c r="BX28" s="897">
        <f>'Численность 2016'!BT170</f>
        <v>0</v>
      </c>
      <c r="BY28" s="1006">
        <f t="shared" si="26"/>
        <v>39091.67</v>
      </c>
      <c r="BZ28" s="897">
        <f>'Численность 2016'!BV170</f>
        <v>0</v>
      </c>
      <c r="CA28" s="144">
        <f t="shared" si="42"/>
        <v>0</v>
      </c>
      <c r="CB28" s="146">
        <f t="shared" si="48"/>
        <v>28545901.600000001</v>
      </c>
      <c r="CC28" s="1007">
        <f>'старое не смотреть'!F303</f>
        <v>36924584.039999999</v>
      </c>
      <c r="CD28" s="999">
        <f t="shared" si="43"/>
        <v>65470485.640000001</v>
      </c>
      <c r="CE28" s="1000">
        <f t="shared" si="49"/>
        <v>65470485.640000001</v>
      </c>
      <c r="CF28" s="1001">
        <v>66651180.68</v>
      </c>
      <c r="CG28" s="1002">
        <f t="shared" si="44"/>
        <v>-1180695.0399999991</v>
      </c>
      <c r="CH28" s="1003"/>
      <c r="CI28" s="1004">
        <f t="shared" si="45"/>
        <v>1512927</v>
      </c>
      <c r="CJ28" s="1005">
        <f>'[1]Свод ФОТ 2016'!BY281</f>
        <v>719460</v>
      </c>
      <c r="CK28" s="1004">
        <f t="shared" si="46"/>
        <v>2232387</v>
      </c>
      <c r="CL28" s="1004">
        <f t="shared" si="47"/>
        <v>63238098.640000001</v>
      </c>
      <c r="CM28" s="433">
        <v>65470485.640000001</v>
      </c>
      <c r="CO28" s="433">
        <v>-2208603</v>
      </c>
    </row>
    <row r="29" spans="1:94" s="1011" customFormat="1" ht="16.5">
      <c r="A29" s="122" t="s">
        <v>782</v>
      </c>
      <c r="B29" s="992" t="s">
        <v>273</v>
      </c>
      <c r="C29" s="993">
        <f t="shared" si="27"/>
        <v>-7</v>
      </c>
      <c r="D29" s="732">
        <v>709</v>
      </c>
      <c r="E29" s="994">
        <f t="shared" si="28"/>
        <v>702</v>
      </c>
      <c r="F29" s="995">
        <f>'[1]ФОТ 2016 29.02.16'!C310</f>
        <v>292</v>
      </c>
      <c r="G29" s="995">
        <f t="shared" si="29"/>
        <v>410</v>
      </c>
      <c r="H29" s="1006">
        <f t="shared" si="0"/>
        <v>31250.82</v>
      </c>
      <c r="I29" s="897">
        <f>'Численность 2016'!E176</f>
        <v>164</v>
      </c>
      <c r="J29" s="1006">
        <f t="shared" si="0"/>
        <v>38535.26</v>
      </c>
      <c r="K29" s="897">
        <f>'Численность 2016'!G176</f>
        <v>196</v>
      </c>
      <c r="L29" s="1006">
        <f t="shared" si="0"/>
        <v>36779.949999999997</v>
      </c>
      <c r="M29" s="897">
        <f>'Численность 2016'!I176</f>
        <v>33</v>
      </c>
      <c r="N29" s="142">
        <f t="shared" si="30"/>
        <v>13891783.789999999</v>
      </c>
      <c r="O29" s="1006">
        <f t="shared" si="1"/>
        <v>35546.49</v>
      </c>
      <c r="P29" s="897">
        <f>'Численность 2016'!L176</f>
        <v>0</v>
      </c>
      <c r="Q29" s="1006">
        <f t="shared" si="2"/>
        <v>43923.6</v>
      </c>
      <c r="R29" s="897">
        <f>'Численность 2016'!N176</f>
        <v>0</v>
      </c>
      <c r="S29" s="1006">
        <f t="shared" si="3"/>
        <v>41904.99</v>
      </c>
      <c r="T29" s="897">
        <f>'Численность 2016'!P176</f>
        <v>0</v>
      </c>
      <c r="U29" s="142">
        <f t="shared" si="31"/>
        <v>0</v>
      </c>
      <c r="V29" s="1006">
        <f t="shared" si="4"/>
        <v>41274.050000000003</v>
      </c>
      <c r="W29" s="897">
        <f>'Численность 2016'!S176</f>
        <v>0</v>
      </c>
      <c r="X29" s="1006">
        <f t="shared" si="5"/>
        <v>51108.05</v>
      </c>
      <c r="Y29" s="897">
        <f>'Численность 2016'!U176</f>
        <v>0</v>
      </c>
      <c r="Z29" s="1006">
        <f t="shared" si="6"/>
        <v>48738.38</v>
      </c>
      <c r="AA29" s="897">
        <f>'Численность 2016'!W176</f>
        <v>0</v>
      </c>
      <c r="AB29" s="142">
        <f t="shared" si="32"/>
        <v>0</v>
      </c>
      <c r="AC29" s="1006">
        <f t="shared" si="7"/>
        <v>45569.73</v>
      </c>
      <c r="AD29" s="897">
        <f>'Численность 2016'!Z176</f>
        <v>0</v>
      </c>
      <c r="AE29" s="1006">
        <f t="shared" si="8"/>
        <v>56496.39</v>
      </c>
      <c r="AF29" s="897">
        <f>'Численность 2016'!AB176</f>
        <v>0</v>
      </c>
      <c r="AG29" s="142">
        <f t="shared" si="33"/>
        <v>0</v>
      </c>
      <c r="AH29" s="1006">
        <f t="shared" si="9"/>
        <v>54161.08</v>
      </c>
      <c r="AI29" s="897">
        <f>'Численность 2016'!AE176</f>
        <v>8</v>
      </c>
      <c r="AJ29" s="1006">
        <f t="shared" si="10"/>
        <v>67273.070000000007</v>
      </c>
      <c r="AK29" s="897">
        <f>'Численность 2016'!AG176</f>
        <v>9</v>
      </c>
      <c r="AL29" s="1006">
        <f t="shared" si="11"/>
        <v>64113.51</v>
      </c>
      <c r="AM29" s="897">
        <f>'Численность 2016'!AI176</f>
        <v>0</v>
      </c>
      <c r="AN29" s="142">
        <f t="shared" si="34"/>
        <v>1038746.27</v>
      </c>
      <c r="AO29" s="1006">
        <f t="shared" si="12"/>
        <v>29360.82</v>
      </c>
      <c r="AP29" s="897">
        <f>'Численность 2016'!AL176</f>
        <v>0</v>
      </c>
      <c r="AQ29" s="1006">
        <f t="shared" si="13"/>
        <v>36645.26</v>
      </c>
      <c r="AR29" s="897">
        <f>'Численность 2016'!AN176</f>
        <v>0</v>
      </c>
      <c r="AS29" s="1006">
        <f t="shared" si="14"/>
        <v>34889.949999999997</v>
      </c>
      <c r="AT29" s="897">
        <f>'Численность 2016'!AP176</f>
        <v>0</v>
      </c>
      <c r="AU29" s="142">
        <f t="shared" si="35"/>
        <v>0</v>
      </c>
      <c r="AV29" s="1006">
        <f t="shared" si="15"/>
        <v>35718.379999999997</v>
      </c>
      <c r="AW29" s="897">
        <f>'Численность 2016'!AS176</f>
        <v>0</v>
      </c>
      <c r="AX29" s="142">
        <f t="shared" si="36"/>
        <v>0</v>
      </c>
      <c r="AY29" s="143">
        <f t="shared" si="37"/>
        <v>14930530.059999999</v>
      </c>
      <c r="AZ29" s="1012">
        <f>'Численность 2016'!AV171</f>
        <v>1.5289999999999999</v>
      </c>
      <c r="BA29" s="1006">
        <f t="shared" si="16"/>
        <v>65258.22</v>
      </c>
      <c r="BB29" s="897">
        <f>'Численность 2016'!AX176</f>
        <v>0</v>
      </c>
      <c r="BC29" s="1006">
        <f t="shared" si="17"/>
        <v>81192.94</v>
      </c>
      <c r="BD29" s="897">
        <f>'Численность 2016'!AZ176</f>
        <v>0</v>
      </c>
      <c r="BE29" s="1006">
        <f t="shared" si="18"/>
        <v>77353.2</v>
      </c>
      <c r="BF29" s="897">
        <f>'Численность 2016'!BB176</f>
        <v>0</v>
      </c>
      <c r="BG29" s="142">
        <f t="shared" si="38"/>
        <v>0</v>
      </c>
      <c r="BH29" s="1006">
        <f t="shared" si="19"/>
        <v>77787.27</v>
      </c>
      <c r="BI29" s="897">
        <f>'Численность 2016'!BE176</f>
        <v>0</v>
      </c>
      <c r="BJ29" s="1006">
        <f t="shared" si="20"/>
        <v>96908.93</v>
      </c>
      <c r="BK29" s="897">
        <f>'Численность 2016'!BG176</f>
        <v>0</v>
      </c>
      <c r="BL29" s="142">
        <f t="shared" si="39"/>
        <v>0</v>
      </c>
      <c r="BM29" s="144">
        <f t="shared" si="40"/>
        <v>0</v>
      </c>
      <c r="BN29" s="1006">
        <f t="shared" si="21"/>
        <v>25708.01</v>
      </c>
      <c r="BO29" s="897">
        <f>'Численность 2016'!BK176</f>
        <v>0</v>
      </c>
      <c r="BP29" s="1006">
        <f t="shared" si="22"/>
        <v>27763.9</v>
      </c>
      <c r="BQ29" s="897">
        <f>'Численность 2016'!BM176</f>
        <v>0</v>
      </c>
      <c r="BR29" s="1006">
        <f t="shared" si="23"/>
        <v>23851.91</v>
      </c>
      <c r="BS29" s="897">
        <f>'Численность 2016'!BO176</f>
        <v>0</v>
      </c>
      <c r="BT29" s="144">
        <f t="shared" si="41"/>
        <v>0</v>
      </c>
      <c r="BU29" s="1006">
        <f t="shared" si="24"/>
        <v>42444.76</v>
      </c>
      <c r="BV29" s="897">
        <f>'Численность 2016'!BR176</f>
        <v>0</v>
      </c>
      <c r="BW29" s="1006">
        <f t="shared" si="25"/>
        <v>46158.78</v>
      </c>
      <c r="BX29" s="897">
        <f>'Численность 2016'!BT176</f>
        <v>0</v>
      </c>
      <c r="BY29" s="1006">
        <f t="shared" si="26"/>
        <v>39091.67</v>
      </c>
      <c r="BZ29" s="897">
        <f>'Численность 2016'!BV176</f>
        <v>0</v>
      </c>
      <c r="CA29" s="144">
        <f t="shared" si="42"/>
        <v>0</v>
      </c>
      <c r="CB29" s="146">
        <f t="shared" si="48"/>
        <v>22828780.460000001</v>
      </c>
      <c r="CC29" s="1007">
        <f>'старое не смотреть'!F313</f>
        <v>26116452.449999999</v>
      </c>
      <c r="CD29" s="999">
        <f t="shared" si="43"/>
        <v>48945232.909999996</v>
      </c>
      <c r="CE29" s="1000">
        <f t="shared" si="49"/>
        <v>48945232.909999996</v>
      </c>
      <c r="CF29" s="1001">
        <v>49130232.079999998</v>
      </c>
      <c r="CG29" s="1002">
        <f t="shared" si="44"/>
        <v>-184999.17000000179</v>
      </c>
      <c r="CH29" s="1003"/>
      <c r="CI29" s="1004">
        <f t="shared" si="45"/>
        <v>1071330</v>
      </c>
      <c r="CJ29" s="1005">
        <f>'[1]Свод ФОТ 2016'!BY290</f>
        <v>708527.56</v>
      </c>
      <c r="CK29" s="1004">
        <f t="shared" si="46"/>
        <v>1779857.56</v>
      </c>
      <c r="CL29" s="1004">
        <f t="shared" si="47"/>
        <v>47165375.349999994</v>
      </c>
      <c r="CM29" s="433">
        <v>48945232.909999996</v>
      </c>
      <c r="CO29" s="740"/>
    </row>
    <row r="30" spans="1:94" ht="16.5">
      <c r="A30" s="122" t="s">
        <v>783</v>
      </c>
      <c r="B30" s="992" t="s">
        <v>278</v>
      </c>
      <c r="C30" s="993">
        <f t="shared" si="27"/>
        <v>10</v>
      </c>
      <c r="D30" s="732">
        <v>1679</v>
      </c>
      <c r="E30" s="994">
        <f t="shared" si="28"/>
        <v>1689</v>
      </c>
      <c r="F30" s="995">
        <f>'[1]ФОТ 2016 29.02.16'!C323</f>
        <v>1027</v>
      </c>
      <c r="G30" s="995">
        <f t="shared" si="29"/>
        <v>662</v>
      </c>
      <c r="H30" s="1006">
        <f t="shared" si="0"/>
        <v>31250.82</v>
      </c>
      <c r="I30" s="897">
        <f>'Численность 2016'!E182</f>
        <v>253</v>
      </c>
      <c r="J30" s="1006">
        <f t="shared" si="0"/>
        <v>38535.26</v>
      </c>
      <c r="K30" s="897">
        <f>'Численность 2016'!G182</f>
        <v>342</v>
      </c>
      <c r="L30" s="1006">
        <f t="shared" si="0"/>
        <v>36779.949999999997</v>
      </c>
      <c r="M30" s="897">
        <f>'Численность 2016'!I182</f>
        <v>67</v>
      </c>
      <c r="N30" s="142">
        <f t="shared" si="30"/>
        <v>23549773.030000001</v>
      </c>
      <c r="O30" s="1006">
        <f t="shared" si="1"/>
        <v>35546.49</v>
      </c>
      <c r="P30" s="897">
        <f>'Численность 2016'!L182</f>
        <v>0</v>
      </c>
      <c r="Q30" s="1006">
        <f t="shared" si="2"/>
        <v>43923.6</v>
      </c>
      <c r="R30" s="897">
        <f>'Численность 2016'!N182</f>
        <v>0</v>
      </c>
      <c r="S30" s="1006">
        <f t="shared" si="3"/>
        <v>41904.99</v>
      </c>
      <c r="T30" s="897">
        <f>'Численность 2016'!P182</f>
        <v>0</v>
      </c>
      <c r="U30" s="142">
        <f t="shared" si="31"/>
        <v>0</v>
      </c>
      <c r="V30" s="1006">
        <f t="shared" si="4"/>
        <v>41274.050000000003</v>
      </c>
      <c r="W30" s="897">
        <f>'Численность 2016'!S182</f>
        <v>0</v>
      </c>
      <c r="X30" s="1006">
        <f t="shared" si="5"/>
        <v>51108.05</v>
      </c>
      <c r="Y30" s="897">
        <f>'Численность 2016'!U182</f>
        <v>0</v>
      </c>
      <c r="Z30" s="1006">
        <f t="shared" si="6"/>
        <v>48738.38</v>
      </c>
      <c r="AA30" s="897">
        <f>'Численность 2016'!W182</f>
        <v>0</v>
      </c>
      <c r="AB30" s="142">
        <f t="shared" si="32"/>
        <v>0</v>
      </c>
      <c r="AC30" s="1006">
        <f t="shared" si="7"/>
        <v>45569.73</v>
      </c>
      <c r="AD30" s="897">
        <f>'Численность 2016'!Z182</f>
        <v>0</v>
      </c>
      <c r="AE30" s="1006">
        <f t="shared" si="8"/>
        <v>56496.39</v>
      </c>
      <c r="AF30" s="897">
        <f>'Численность 2016'!AB182</f>
        <v>0</v>
      </c>
      <c r="AG30" s="142">
        <f t="shared" si="33"/>
        <v>0</v>
      </c>
      <c r="AH30" s="1006">
        <f t="shared" si="9"/>
        <v>54161.08</v>
      </c>
      <c r="AI30" s="897">
        <f>'Численность 2016'!AE182</f>
        <v>0</v>
      </c>
      <c r="AJ30" s="1006">
        <f t="shared" si="10"/>
        <v>67273.070000000007</v>
      </c>
      <c r="AK30" s="897">
        <f>'Численность 2016'!AG182</f>
        <v>0</v>
      </c>
      <c r="AL30" s="1006">
        <f t="shared" si="11"/>
        <v>64113.51</v>
      </c>
      <c r="AM30" s="897">
        <f>'Численность 2016'!AI182</f>
        <v>0</v>
      </c>
      <c r="AN30" s="142">
        <f t="shared" si="34"/>
        <v>0</v>
      </c>
      <c r="AO30" s="1006">
        <f t="shared" si="12"/>
        <v>29360.82</v>
      </c>
      <c r="AP30" s="897">
        <f>'Численность 2016'!AL182</f>
        <v>0</v>
      </c>
      <c r="AQ30" s="1006">
        <f t="shared" si="13"/>
        <v>36645.26</v>
      </c>
      <c r="AR30" s="897">
        <f>'Численность 2016'!AN182</f>
        <v>0</v>
      </c>
      <c r="AS30" s="1006">
        <f t="shared" si="14"/>
        <v>34889.949999999997</v>
      </c>
      <c r="AT30" s="897">
        <f>'Численность 2016'!AP182</f>
        <v>0</v>
      </c>
      <c r="AU30" s="142">
        <f t="shared" si="35"/>
        <v>0</v>
      </c>
      <c r="AV30" s="1006">
        <f t="shared" si="15"/>
        <v>35718.379999999997</v>
      </c>
      <c r="AW30" s="897">
        <f>'Численность 2016'!AS182</f>
        <v>0</v>
      </c>
      <c r="AX30" s="142">
        <f t="shared" si="36"/>
        <v>0</v>
      </c>
      <c r="AY30" s="143">
        <f t="shared" si="37"/>
        <v>23549773.030000001</v>
      </c>
      <c r="AZ30" s="1013">
        <f>'Численность 2016'!AV177</f>
        <v>1.339</v>
      </c>
      <c r="BA30" s="1006">
        <f t="shared" si="16"/>
        <v>65258.22</v>
      </c>
      <c r="BB30" s="897">
        <f>'Численность 2016'!AX182</f>
        <v>0</v>
      </c>
      <c r="BC30" s="1006">
        <f t="shared" si="17"/>
        <v>81192.94</v>
      </c>
      <c r="BD30" s="897">
        <f>'Численность 2016'!AZ182</f>
        <v>0</v>
      </c>
      <c r="BE30" s="1006">
        <f t="shared" si="18"/>
        <v>77353.2</v>
      </c>
      <c r="BF30" s="897">
        <f>'Численность 2016'!BB182</f>
        <v>0</v>
      </c>
      <c r="BG30" s="142">
        <f t="shared" si="38"/>
        <v>0</v>
      </c>
      <c r="BH30" s="1006">
        <f t="shared" si="19"/>
        <v>77787.27</v>
      </c>
      <c r="BI30" s="897">
        <f>'Численность 2016'!BE182</f>
        <v>0</v>
      </c>
      <c r="BJ30" s="1006">
        <f t="shared" si="20"/>
        <v>96908.93</v>
      </c>
      <c r="BK30" s="897">
        <f>'Численность 2016'!BG182</f>
        <v>0</v>
      </c>
      <c r="BL30" s="142">
        <f t="shared" si="39"/>
        <v>0</v>
      </c>
      <c r="BM30" s="144">
        <f t="shared" si="40"/>
        <v>0</v>
      </c>
      <c r="BN30" s="1006">
        <f t="shared" si="21"/>
        <v>25708.01</v>
      </c>
      <c r="BO30" s="897">
        <f>'Численность 2016'!BK182</f>
        <v>0</v>
      </c>
      <c r="BP30" s="1006">
        <f t="shared" si="22"/>
        <v>27763.9</v>
      </c>
      <c r="BQ30" s="897">
        <f>'Численность 2016'!BM182</f>
        <v>0</v>
      </c>
      <c r="BR30" s="1006">
        <f t="shared" si="23"/>
        <v>23851.91</v>
      </c>
      <c r="BS30" s="897">
        <f>'Численность 2016'!BO182</f>
        <v>0</v>
      </c>
      <c r="BT30" s="144">
        <f t="shared" si="41"/>
        <v>0</v>
      </c>
      <c r="BU30" s="1006">
        <f t="shared" si="24"/>
        <v>42444.76</v>
      </c>
      <c r="BV30" s="897">
        <f>'Численность 2016'!BR182</f>
        <v>0</v>
      </c>
      <c r="BW30" s="1006">
        <f t="shared" si="25"/>
        <v>46158.78</v>
      </c>
      <c r="BX30" s="897">
        <f>'Численность 2016'!BT182</f>
        <v>0</v>
      </c>
      <c r="BY30" s="1006">
        <f t="shared" si="26"/>
        <v>39091.67</v>
      </c>
      <c r="BZ30" s="897">
        <f>'Численность 2016'!BV182</f>
        <v>0</v>
      </c>
      <c r="CA30" s="144">
        <f t="shared" si="42"/>
        <v>0</v>
      </c>
      <c r="CB30" s="146">
        <f t="shared" si="48"/>
        <v>31533146.09</v>
      </c>
      <c r="CC30" s="1007">
        <f>'старое не смотреть'!F326</f>
        <v>84901269.169999987</v>
      </c>
      <c r="CD30" s="999">
        <f t="shared" si="43"/>
        <v>116434415.25999999</v>
      </c>
      <c r="CE30" s="1000">
        <f t="shared" si="49"/>
        <v>116434415.25999999</v>
      </c>
      <c r="CF30" s="1001">
        <v>116436135.15000001</v>
      </c>
      <c r="CG30" s="1002">
        <f t="shared" si="44"/>
        <v>-1719.8900000154972</v>
      </c>
      <c r="CH30" s="1003"/>
      <c r="CI30" s="1004">
        <f t="shared" si="45"/>
        <v>1729806</v>
      </c>
      <c r="CJ30" s="1005">
        <f>'[1]Свод ФОТ 2016'!BY302</f>
        <v>2613837</v>
      </c>
      <c r="CK30" s="1004">
        <f t="shared" si="46"/>
        <v>4343643</v>
      </c>
      <c r="CL30" s="1004">
        <f t="shared" si="47"/>
        <v>112090772.25999999</v>
      </c>
      <c r="CM30" s="433">
        <v>116434415.25999999</v>
      </c>
      <c r="CO30" s="433"/>
    </row>
    <row r="31" spans="1:94" ht="16.5">
      <c r="A31" s="122" t="s">
        <v>784</v>
      </c>
      <c r="B31" s="992" t="s">
        <v>533</v>
      </c>
      <c r="C31" s="1010">
        <f t="shared" si="27"/>
        <v>-43</v>
      </c>
      <c r="D31" s="732">
        <v>3133</v>
      </c>
      <c r="E31" s="994">
        <f t="shared" si="28"/>
        <v>3090</v>
      </c>
      <c r="F31" s="995">
        <f>'[1]ФОТ 2016 29.02.16'!C340</f>
        <v>915</v>
      </c>
      <c r="G31" s="995">
        <f t="shared" si="29"/>
        <v>2175</v>
      </c>
      <c r="H31" s="1006">
        <f t="shared" si="0"/>
        <v>31250.82</v>
      </c>
      <c r="I31" s="897">
        <f>'Численность 2016'!E199</f>
        <v>857</v>
      </c>
      <c r="J31" s="1006">
        <f t="shared" si="0"/>
        <v>38535.26</v>
      </c>
      <c r="K31" s="897">
        <f>'Численность 2016'!G199</f>
        <v>993</v>
      </c>
      <c r="L31" s="1006">
        <f t="shared" si="0"/>
        <v>36779.949999999997</v>
      </c>
      <c r="M31" s="897">
        <f>'Численность 2016'!I199</f>
        <v>193</v>
      </c>
      <c r="N31" s="142">
        <f t="shared" si="30"/>
        <v>72145996.269999996</v>
      </c>
      <c r="O31" s="1006">
        <f t="shared" si="1"/>
        <v>35546.49</v>
      </c>
      <c r="P31" s="897">
        <f>'Численность 2016'!L199</f>
        <v>0</v>
      </c>
      <c r="Q31" s="1006">
        <f t="shared" si="2"/>
        <v>43923.6</v>
      </c>
      <c r="R31" s="897">
        <f>'Численность 2016'!N199</f>
        <v>0</v>
      </c>
      <c r="S31" s="1006">
        <f t="shared" si="3"/>
        <v>41904.99</v>
      </c>
      <c r="T31" s="897">
        <f>'Численность 2016'!P199</f>
        <v>0</v>
      </c>
      <c r="U31" s="142">
        <f t="shared" si="31"/>
        <v>0</v>
      </c>
      <c r="V31" s="1006">
        <f t="shared" si="4"/>
        <v>41274.050000000003</v>
      </c>
      <c r="W31" s="897">
        <f>'Численность 2016'!S199</f>
        <v>0</v>
      </c>
      <c r="X31" s="1006">
        <f t="shared" si="5"/>
        <v>51108.05</v>
      </c>
      <c r="Y31" s="897">
        <f>'Численность 2016'!U199</f>
        <v>0</v>
      </c>
      <c r="Z31" s="1006">
        <f t="shared" si="6"/>
        <v>48738.38</v>
      </c>
      <c r="AA31" s="897">
        <f>'Численность 2016'!W199</f>
        <v>0</v>
      </c>
      <c r="AB31" s="142">
        <f t="shared" si="32"/>
        <v>0</v>
      </c>
      <c r="AC31" s="1006">
        <f t="shared" si="7"/>
        <v>45569.73</v>
      </c>
      <c r="AD31" s="897">
        <f>'Численность 2016'!Z199</f>
        <v>13</v>
      </c>
      <c r="AE31" s="1006">
        <f t="shared" si="8"/>
        <v>56496.39</v>
      </c>
      <c r="AF31" s="897">
        <f>'Численность 2016'!AB199</f>
        <v>0</v>
      </c>
      <c r="AG31" s="142">
        <f t="shared" si="33"/>
        <v>592406.49</v>
      </c>
      <c r="AH31" s="1006">
        <f t="shared" si="9"/>
        <v>54161.08</v>
      </c>
      <c r="AI31" s="897">
        <f>'Численность 2016'!AE199</f>
        <v>19</v>
      </c>
      <c r="AJ31" s="1006">
        <f t="shared" si="10"/>
        <v>67273.070000000007</v>
      </c>
      <c r="AK31" s="897">
        <f>'Численность 2016'!AG199</f>
        <v>40</v>
      </c>
      <c r="AL31" s="1006">
        <f t="shared" si="11"/>
        <v>64113.51</v>
      </c>
      <c r="AM31" s="897">
        <f>'Численность 2016'!AI199</f>
        <v>1</v>
      </c>
      <c r="AN31" s="142">
        <f t="shared" si="34"/>
        <v>3784096.83</v>
      </c>
      <c r="AO31" s="1006">
        <f t="shared" si="12"/>
        <v>29360.82</v>
      </c>
      <c r="AP31" s="897">
        <f>'Численность 2016'!AL199</f>
        <v>0</v>
      </c>
      <c r="AQ31" s="1006">
        <f t="shared" si="13"/>
        <v>36645.26</v>
      </c>
      <c r="AR31" s="897">
        <f>'Численность 2016'!AN199</f>
        <v>0</v>
      </c>
      <c r="AS31" s="1006">
        <f t="shared" si="14"/>
        <v>34889.949999999997</v>
      </c>
      <c r="AT31" s="897">
        <f>'Численность 2016'!AP199</f>
        <v>0</v>
      </c>
      <c r="AU31" s="142">
        <f t="shared" si="35"/>
        <v>0</v>
      </c>
      <c r="AV31" s="1006">
        <f t="shared" si="15"/>
        <v>35718.379999999997</v>
      </c>
      <c r="AW31" s="897">
        <f>'Численность 2016'!AS199</f>
        <v>25</v>
      </c>
      <c r="AX31" s="142">
        <f t="shared" si="36"/>
        <v>892959.5</v>
      </c>
      <c r="AY31" s="143">
        <f t="shared" si="37"/>
        <v>77415459.090000004</v>
      </c>
      <c r="AZ31" s="1012">
        <f>'Численность 2016'!AV183</f>
        <v>1.3</v>
      </c>
      <c r="BA31" s="1006">
        <f t="shared" si="16"/>
        <v>65258.22</v>
      </c>
      <c r="BB31" s="897">
        <f>'Численность 2016'!AX199</f>
        <v>0</v>
      </c>
      <c r="BC31" s="1006">
        <f t="shared" si="17"/>
        <v>81192.94</v>
      </c>
      <c r="BD31" s="897">
        <f>'Численность 2016'!AZ199</f>
        <v>0</v>
      </c>
      <c r="BE31" s="1006">
        <f t="shared" si="18"/>
        <v>77353.2</v>
      </c>
      <c r="BF31" s="897">
        <f>'Численность 2016'!BB199</f>
        <v>0</v>
      </c>
      <c r="BG31" s="142">
        <f t="shared" si="38"/>
        <v>0</v>
      </c>
      <c r="BH31" s="1006">
        <f t="shared" si="19"/>
        <v>77787.27</v>
      </c>
      <c r="BI31" s="897">
        <f>'Численность 2016'!BE199</f>
        <v>0</v>
      </c>
      <c r="BJ31" s="1006">
        <f t="shared" si="20"/>
        <v>96908.93</v>
      </c>
      <c r="BK31" s="897">
        <f>'Численность 2016'!BG199</f>
        <v>0</v>
      </c>
      <c r="BL31" s="142">
        <f t="shared" si="39"/>
        <v>0</v>
      </c>
      <c r="BM31" s="144">
        <f t="shared" si="40"/>
        <v>0</v>
      </c>
      <c r="BN31" s="1006">
        <f t="shared" si="21"/>
        <v>25708.01</v>
      </c>
      <c r="BO31" s="897">
        <f>'Численность 2016'!BK199</f>
        <v>0</v>
      </c>
      <c r="BP31" s="1006">
        <f t="shared" si="22"/>
        <v>27763.9</v>
      </c>
      <c r="BQ31" s="897">
        <f>'Численность 2016'!BM199</f>
        <v>10</v>
      </c>
      <c r="BR31" s="1006">
        <f t="shared" si="23"/>
        <v>23851.91</v>
      </c>
      <c r="BS31" s="897">
        <f>'Численность 2016'!BO199</f>
        <v>24</v>
      </c>
      <c r="BT31" s="144">
        <f t="shared" si="41"/>
        <v>850084.84</v>
      </c>
      <c r="BU31" s="1006">
        <f t="shared" si="24"/>
        <v>42444.76</v>
      </c>
      <c r="BV31" s="897">
        <f>'Численность 2016'!BR199</f>
        <v>0</v>
      </c>
      <c r="BW31" s="1006">
        <f t="shared" si="25"/>
        <v>46158.78</v>
      </c>
      <c r="BX31" s="897">
        <f>'Численность 2016'!BT199</f>
        <v>0</v>
      </c>
      <c r="BY31" s="1006">
        <f t="shared" si="26"/>
        <v>39091.67</v>
      </c>
      <c r="BZ31" s="897">
        <f>'Численность 2016'!BV199</f>
        <v>0</v>
      </c>
      <c r="CA31" s="144">
        <f t="shared" si="42"/>
        <v>0</v>
      </c>
      <c r="CB31" s="146">
        <f t="shared" si="48"/>
        <v>101490181.66</v>
      </c>
      <c r="CC31" s="1007">
        <f>'старое не смотреть'!F343</f>
        <v>84867296.75</v>
      </c>
      <c r="CD31" s="999">
        <f t="shared" si="43"/>
        <v>186357478.41</v>
      </c>
      <c r="CE31" s="1000">
        <f t="shared" si="49"/>
        <v>186357478.41</v>
      </c>
      <c r="CF31" s="1001">
        <v>186390333.38999999</v>
      </c>
      <c r="CG31" s="1002">
        <f t="shared" si="44"/>
        <v>-32854.979999989271</v>
      </c>
      <c r="CH31" s="1003"/>
      <c r="CI31" s="1004">
        <f t="shared" si="45"/>
        <v>5651775</v>
      </c>
      <c r="CJ31" s="1005">
        <f>'[1]Свод ФОТ 2016'!BY318</f>
        <v>2377905</v>
      </c>
      <c r="CK31" s="1004">
        <f t="shared" si="46"/>
        <v>8029680</v>
      </c>
      <c r="CL31" s="1004">
        <f t="shared" si="47"/>
        <v>178327798.41</v>
      </c>
      <c r="CM31" s="433">
        <v>186357478.41</v>
      </c>
      <c r="CO31" s="433"/>
    </row>
    <row r="32" spans="1:94" s="1011" customFormat="1" ht="16.5">
      <c r="A32" s="122" t="s">
        <v>785</v>
      </c>
      <c r="B32" s="1017" t="s">
        <v>786</v>
      </c>
      <c r="C32" s="1010">
        <f t="shared" si="27"/>
        <v>91</v>
      </c>
      <c r="D32" s="732">
        <v>3916</v>
      </c>
      <c r="E32" s="994">
        <f t="shared" si="28"/>
        <v>4007</v>
      </c>
      <c r="F32" s="1018">
        <f>0</f>
        <v>0</v>
      </c>
      <c r="G32" s="995">
        <f t="shared" si="29"/>
        <v>4007</v>
      </c>
      <c r="H32" s="1006">
        <f t="shared" si="0"/>
        <v>31250.82</v>
      </c>
      <c r="I32" s="897">
        <f>'Численность 2016'!E211</f>
        <v>1485</v>
      </c>
      <c r="J32" s="1006">
        <f t="shared" si="0"/>
        <v>38535.26</v>
      </c>
      <c r="K32" s="897">
        <f>'Численность 2016'!G211</f>
        <v>1890</v>
      </c>
      <c r="L32" s="1006">
        <f t="shared" si="0"/>
        <v>36779.949999999997</v>
      </c>
      <c r="M32" s="897">
        <f>'Численность 2016'!I211</f>
        <v>339</v>
      </c>
      <c r="N32" s="142">
        <f t="shared" si="30"/>
        <v>131707512.15000001</v>
      </c>
      <c r="O32" s="1006">
        <f t="shared" si="1"/>
        <v>35546.49</v>
      </c>
      <c r="P32" s="897">
        <f>'Численность 2016'!L211</f>
        <v>0</v>
      </c>
      <c r="Q32" s="1006">
        <f t="shared" si="2"/>
        <v>43923.6</v>
      </c>
      <c r="R32" s="897">
        <f>'Численность 2016'!N211</f>
        <v>0</v>
      </c>
      <c r="S32" s="1006">
        <f t="shared" si="3"/>
        <v>41904.99</v>
      </c>
      <c r="T32" s="897">
        <f>'Численность 2016'!P211</f>
        <v>0</v>
      </c>
      <c r="U32" s="142">
        <f t="shared" si="31"/>
        <v>0</v>
      </c>
      <c r="V32" s="1006">
        <f t="shared" si="4"/>
        <v>41274.050000000003</v>
      </c>
      <c r="W32" s="897">
        <f>'Численность 2016'!S211</f>
        <v>0</v>
      </c>
      <c r="X32" s="1006">
        <f t="shared" si="5"/>
        <v>51108.05</v>
      </c>
      <c r="Y32" s="897">
        <f>'Численность 2016'!U211</f>
        <v>0</v>
      </c>
      <c r="Z32" s="1006">
        <f t="shared" si="6"/>
        <v>48738.38</v>
      </c>
      <c r="AA32" s="897">
        <f>'Численность 2016'!W211</f>
        <v>0</v>
      </c>
      <c r="AB32" s="142">
        <f t="shared" si="32"/>
        <v>0</v>
      </c>
      <c r="AC32" s="1006">
        <f t="shared" si="7"/>
        <v>45569.73</v>
      </c>
      <c r="AD32" s="897">
        <f>'Численность 2016'!Z211</f>
        <v>22</v>
      </c>
      <c r="AE32" s="1006">
        <f t="shared" si="8"/>
        <v>56496.39</v>
      </c>
      <c r="AF32" s="897">
        <f>'Численность 2016'!AB211</f>
        <v>24</v>
      </c>
      <c r="AG32" s="142">
        <f t="shared" si="33"/>
        <v>2358447.42</v>
      </c>
      <c r="AH32" s="1006">
        <f t="shared" si="9"/>
        <v>54161.08</v>
      </c>
      <c r="AI32" s="897">
        <f>'Численность 2016'!AE211</f>
        <v>9</v>
      </c>
      <c r="AJ32" s="1006">
        <f t="shared" si="10"/>
        <v>67273.070000000007</v>
      </c>
      <c r="AK32" s="897">
        <f>'Численность 2016'!AG211</f>
        <v>8</v>
      </c>
      <c r="AL32" s="1006">
        <f t="shared" si="11"/>
        <v>64113.51</v>
      </c>
      <c r="AM32" s="897">
        <f>'Численность 2016'!AI211</f>
        <v>0</v>
      </c>
      <c r="AN32" s="142">
        <f t="shared" si="34"/>
        <v>1025634.28</v>
      </c>
      <c r="AO32" s="1006">
        <f t="shared" si="12"/>
        <v>29360.82</v>
      </c>
      <c r="AP32" s="897">
        <f>'Численность 2016'!AL211</f>
        <v>0</v>
      </c>
      <c r="AQ32" s="1006">
        <f t="shared" si="13"/>
        <v>36645.26</v>
      </c>
      <c r="AR32" s="897">
        <f>'Численность 2016'!AN211</f>
        <v>0</v>
      </c>
      <c r="AS32" s="1006">
        <f t="shared" si="14"/>
        <v>34889.949999999997</v>
      </c>
      <c r="AT32" s="897">
        <f>'Численность 2016'!AP211</f>
        <v>0</v>
      </c>
      <c r="AU32" s="142">
        <f t="shared" si="35"/>
        <v>0</v>
      </c>
      <c r="AV32" s="1006">
        <f t="shared" si="15"/>
        <v>35718.379999999997</v>
      </c>
      <c r="AW32" s="897">
        <f>'Численность 2016'!AS211</f>
        <v>230</v>
      </c>
      <c r="AX32" s="142">
        <f t="shared" si="36"/>
        <v>8215227.4000000004</v>
      </c>
      <c r="AY32" s="143">
        <f t="shared" si="37"/>
        <v>143306821.25</v>
      </c>
      <c r="AZ32" s="1019">
        <f>'Численность 2016'!AV200</f>
        <v>1.0271300000000001</v>
      </c>
      <c r="BA32" s="1006">
        <f t="shared" si="16"/>
        <v>65258.22</v>
      </c>
      <c r="BB32" s="897">
        <f>'Численность 2016'!AX211</f>
        <v>0</v>
      </c>
      <c r="BC32" s="1006">
        <f t="shared" si="17"/>
        <v>81192.94</v>
      </c>
      <c r="BD32" s="897">
        <f>'Численность 2016'!AZ211</f>
        <v>0</v>
      </c>
      <c r="BE32" s="1006">
        <f t="shared" si="18"/>
        <v>77353.2</v>
      </c>
      <c r="BF32" s="897">
        <f>'Численность 2016'!BB211</f>
        <v>0</v>
      </c>
      <c r="BG32" s="142">
        <f t="shared" si="38"/>
        <v>0</v>
      </c>
      <c r="BH32" s="1006">
        <f t="shared" si="19"/>
        <v>77787.27</v>
      </c>
      <c r="BI32" s="897">
        <f>'Численность 2016'!BE211</f>
        <v>0</v>
      </c>
      <c r="BJ32" s="1006">
        <f t="shared" si="20"/>
        <v>96908.93</v>
      </c>
      <c r="BK32" s="897">
        <f>'Численность 2016'!BG211</f>
        <v>0</v>
      </c>
      <c r="BL32" s="142">
        <f t="shared" si="39"/>
        <v>0</v>
      </c>
      <c r="BM32" s="144">
        <f t="shared" si="40"/>
        <v>0</v>
      </c>
      <c r="BN32" s="1006">
        <f t="shared" si="21"/>
        <v>25708.01</v>
      </c>
      <c r="BO32" s="897">
        <f>'Численность 2016'!BK211</f>
        <v>0</v>
      </c>
      <c r="BP32" s="1006">
        <f t="shared" si="22"/>
        <v>27763.9</v>
      </c>
      <c r="BQ32" s="897">
        <f>'Численность 2016'!BM211</f>
        <v>0</v>
      </c>
      <c r="BR32" s="1006">
        <f t="shared" si="23"/>
        <v>23851.91</v>
      </c>
      <c r="BS32" s="897">
        <f>'Численность 2016'!BO211</f>
        <v>0</v>
      </c>
      <c r="BT32" s="144">
        <f t="shared" si="41"/>
        <v>0</v>
      </c>
      <c r="BU32" s="1006">
        <f t="shared" si="24"/>
        <v>42444.76</v>
      </c>
      <c r="BV32" s="897">
        <f>'Численность 2016'!BR211</f>
        <v>0</v>
      </c>
      <c r="BW32" s="1006">
        <f t="shared" si="25"/>
        <v>46158.78</v>
      </c>
      <c r="BX32" s="897">
        <f>'Численность 2016'!BT211</f>
        <v>0</v>
      </c>
      <c r="BY32" s="1006">
        <f t="shared" si="26"/>
        <v>39091.67</v>
      </c>
      <c r="BZ32" s="897">
        <f>'Численность 2016'!BV211</f>
        <v>0</v>
      </c>
      <c r="CA32" s="144">
        <f t="shared" si="42"/>
        <v>0</v>
      </c>
      <c r="CB32" s="146">
        <f t="shared" si="48"/>
        <v>147194735.31</v>
      </c>
      <c r="CC32" s="1007">
        <v>0</v>
      </c>
      <c r="CD32" s="999">
        <f t="shared" si="43"/>
        <v>147194735.31</v>
      </c>
      <c r="CE32" s="1000">
        <f>CD32</f>
        <v>147194735.31</v>
      </c>
      <c r="CF32" s="1001">
        <v>147916778.11000001</v>
      </c>
      <c r="CG32" s="1002">
        <f t="shared" si="44"/>
        <v>-722042.80000001192</v>
      </c>
      <c r="CH32" s="1003"/>
      <c r="CI32" s="1004">
        <f t="shared" si="45"/>
        <v>10180491</v>
      </c>
      <c r="CJ32" s="1005">
        <v>0</v>
      </c>
      <c r="CK32" s="1004">
        <f t="shared" si="46"/>
        <v>10180491</v>
      </c>
      <c r="CL32" s="1004">
        <f t="shared" si="47"/>
        <v>137014244.31</v>
      </c>
      <c r="CM32" s="433">
        <v>147194735.31</v>
      </c>
      <c r="CO32" s="740"/>
    </row>
    <row r="33" spans="1:93" ht="16.5">
      <c r="A33" s="122" t="s">
        <v>787</v>
      </c>
      <c r="B33" s="1017" t="s">
        <v>788</v>
      </c>
      <c r="C33" s="1010">
        <f t="shared" si="27"/>
        <v>3453</v>
      </c>
      <c r="D33" s="732">
        <v>44274</v>
      </c>
      <c r="E33" s="994">
        <f t="shared" si="28"/>
        <v>47727</v>
      </c>
      <c r="F33" s="1018">
        <f>'[1]Свод малок 2016'!P176</f>
        <v>437</v>
      </c>
      <c r="G33" s="1020">
        <f t="shared" si="29"/>
        <v>47290</v>
      </c>
      <c r="H33" s="1006">
        <f t="shared" si="0"/>
        <v>31250.82</v>
      </c>
      <c r="I33" s="897">
        <f>'Численность 2016'!E282</f>
        <v>15065</v>
      </c>
      <c r="J33" s="1006">
        <f t="shared" si="0"/>
        <v>38535.26</v>
      </c>
      <c r="K33" s="897">
        <f>'Численность 2016'!G282</f>
        <v>14084</v>
      </c>
      <c r="L33" s="1006">
        <f t="shared" si="0"/>
        <v>36779.949999999997</v>
      </c>
      <c r="M33" s="897">
        <f>'Численность 2016'!I282</f>
        <v>2635</v>
      </c>
      <c r="N33" s="142">
        <f t="shared" si="30"/>
        <v>1110439373.3900001</v>
      </c>
      <c r="O33" s="1006">
        <f t="shared" si="1"/>
        <v>35546.49</v>
      </c>
      <c r="P33" s="897">
        <f>'Численность 2016'!L282</f>
        <v>3479</v>
      </c>
      <c r="Q33" s="1006">
        <f t="shared" si="2"/>
        <v>43923.6</v>
      </c>
      <c r="R33" s="897">
        <f>'Численность 2016'!N282</f>
        <v>5277</v>
      </c>
      <c r="S33" s="1006">
        <f t="shared" si="3"/>
        <v>41904.99</v>
      </c>
      <c r="T33" s="897">
        <f>'Численность 2016'!P282</f>
        <v>1210</v>
      </c>
      <c r="U33" s="142">
        <f t="shared" si="31"/>
        <v>406156113.81</v>
      </c>
      <c r="V33" s="1006">
        <f t="shared" si="4"/>
        <v>41274.050000000003</v>
      </c>
      <c r="W33" s="897">
        <f>'Численность 2016'!S282</f>
        <v>1164</v>
      </c>
      <c r="X33" s="1006">
        <f t="shared" si="5"/>
        <v>51108.05</v>
      </c>
      <c r="Y33" s="897">
        <f>'Численность 2016'!U282</f>
        <v>1343</v>
      </c>
      <c r="Z33" s="1006">
        <f t="shared" si="6"/>
        <v>48738.38</v>
      </c>
      <c r="AA33" s="897">
        <f>'Численность 2016'!W282</f>
        <v>462</v>
      </c>
      <c r="AB33" s="142">
        <f t="shared" si="32"/>
        <v>139198236.91</v>
      </c>
      <c r="AC33" s="1006">
        <f t="shared" si="7"/>
        <v>45569.73</v>
      </c>
      <c r="AD33" s="897">
        <f>'Численность 2016'!Z282</f>
        <v>375</v>
      </c>
      <c r="AE33" s="1006">
        <f t="shared" si="8"/>
        <v>56496.39</v>
      </c>
      <c r="AF33" s="897">
        <f>'Численность 2016'!AB282</f>
        <v>304</v>
      </c>
      <c r="AG33" s="142">
        <f t="shared" si="33"/>
        <v>34263551.310000002</v>
      </c>
      <c r="AH33" s="1006">
        <f t="shared" si="9"/>
        <v>54161.08</v>
      </c>
      <c r="AI33" s="897">
        <f>'Численность 2016'!AE282</f>
        <v>238</v>
      </c>
      <c r="AJ33" s="1006">
        <f t="shared" si="10"/>
        <v>67273.070000000007</v>
      </c>
      <c r="AK33" s="897">
        <f>'Численность 2016'!AG282</f>
        <v>580</v>
      </c>
      <c r="AL33" s="1006">
        <f t="shared" si="11"/>
        <v>64113.51</v>
      </c>
      <c r="AM33" s="897">
        <f>'Численность 2016'!AI282</f>
        <v>63</v>
      </c>
      <c r="AN33" s="142">
        <f t="shared" si="34"/>
        <v>55947868.770000003</v>
      </c>
      <c r="AO33" s="1006">
        <f t="shared" si="12"/>
        <v>29360.82</v>
      </c>
      <c r="AP33" s="897">
        <f>'Численность 2016'!AL282</f>
        <v>37</v>
      </c>
      <c r="AQ33" s="1006">
        <f t="shared" si="13"/>
        <v>36645.26</v>
      </c>
      <c r="AR33" s="897">
        <f>'Численность 2016'!AN282</f>
        <v>52</v>
      </c>
      <c r="AS33" s="1006">
        <f t="shared" si="14"/>
        <v>34889.949999999997</v>
      </c>
      <c r="AT33" s="897">
        <f>'Численность 2016'!AP282</f>
        <v>25</v>
      </c>
      <c r="AU33" s="142">
        <f t="shared" si="35"/>
        <v>3864152.61</v>
      </c>
      <c r="AV33" s="1006">
        <f t="shared" si="15"/>
        <v>35718.379999999997</v>
      </c>
      <c r="AW33" s="897">
        <f>'Численность 2016'!AS282</f>
        <v>24</v>
      </c>
      <c r="AX33" s="142">
        <f t="shared" si="36"/>
        <v>857241.12</v>
      </c>
      <c r="AY33" s="143">
        <f t="shared" si="37"/>
        <v>1750726537.9200001</v>
      </c>
      <c r="AZ33" s="1019">
        <f>'Численность 2016'!AV212</f>
        <v>1.00048</v>
      </c>
      <c r="BA33" s="1006">
        <f t="shared" si="16"/>
        <v>65258.22</v>
      </c>
      <c r="BB33" s="897">
        <f>'Численность 2016'!AX282</f>
        <v>0</v>
      </c>
      <c r="BC33" s="1006">
        <f t="shared" si="17"/>
        <v>81192.94</v>
      </c>
      <c r="BD33" s="897">
        <f>'Численность 2016'!AZ282</f>
        <v>134</v>
      </c>
      <c r="BE33" s="1006">
        <f t="shared" si="18"/>
        <v>77353.2</v>
      </c>
      <c r="BF33" s="897">
        <f>'Численность 2016'!BB282</f>
        <v>15</v>
      </c>
      <c r="BG33" s="142">
        <f t="shared" si="38"/>
        <v>12040151.960000001</v>
      </c>
      <c r="BH33" s="1006">
        <f t="shared" si="19"/>
        <v>77787.27</v>
      </c>
      <c r="BI33" s="897">
        <f>'Численность 2016'!BE282</f>
        <v>184</v>
      </c>
      <c r="BJ33" s="1006">
        <f t="shared" si="20"/>
        <v>96908.93</v>
      </c>
      <c r="BK33" s="897">
        <f>'Численность 2016'!BG282</f>
        <v>195</v>
      </c>
      <c r="BL33" s="142">
        <f t="shared" si="39"/>
        <v>33210099.030000001</v>
      </c>
      <c r="BM33" s="144">
        <f t="shared" si="40"/>
        <v>45250250.990000002</v>
      </c>
      <c r="BN33" s="1006">
        <f t="shared" si="21"/>
        <v>25708.01</v>
      </c>
      <c r="BO33" s="897">
        <f>'Численность 2016'!BK282</f>
        <v>0</v>
      </c>
      <c r="BP33" s="1006">
        <f t="shared" si="22"/>
        <v>27763.9</v>
      </c>
      <c r="BQ33" s="897">
        <f>'Численность 2016'!BM282</f>
        <v>111</v>
      </c>
      <c r="BR33" s="1006">
        <f t="shared" si="23"/>
        <v>23851.91</v>
      </c>
      <c r="BS33" s="897">
        <f>'Численность 2016'!BO282</f>
        <v>114</v>
      </c>
      <c r="BT33" s="144">
        <f t="shared" si="41"/>
        <v>5800910.6399999997</v>
      </c>
      <c r="BU33" s="1006">
        <f t="shared" si="24"/>
        <v>42444.76</v>
      </c>
      <c r="BV33" s="897">
        <f>'Численность 2016'!BR282</f>
        <v>1</v>
      </c>
      <c r="BW33" s="1006">
        <f t="shared" si="25"/>
        <v>46158.78</v>
      </c>
      <c r="BX33" s="897">
        <f>'Численность 2016'!BT282</f>
        <v>72</v>
      </c>
      <c r="BY33" s="1006">
        <f t="shared" si="26"/>
        <v>39091.67</v>
      </c>
      <c r="BZ33" s="897">
        <f>'Численность 2016'!BV282</f>
        <v>47</v>
      </c>
      <c r="CA33" s="144">
        <f t="shared" si="42"/>
        <v>5203185.41</v>
      </c>
      <c r="CB33" s="146">
        <f t="shared" si="48"/>
        <v>1807821233.7</v>
      </c>
      <c r="CC33" s="1007">
        <f>'старое не смотреть'!F364</f>
        <v>35145221.049999997</v>
      </c>
      <c r="CD33" s="999">
        <f t="shared" si="43"/>
        <v>1842966454.75</v>
      </c>
      <c r="CE33" s="1000">
        <f t="shared" si="49"/>
        <v>1842966454.75</v>
      </c>
      <c r="CF33" s="1001">
        <v>1843559275.6099999</v>
      </c>
      <c r="CG33" s="1002">
        <f t="shared" si="44"/>
        <v>-592820.8599998951</v>
      </c>
      <c r="CH33" s="1003"/>
      <c r="CI33" s="1004">
        <f t="shared" si="45"/>
        <v>123096270</v>
      </c>
      <c r="CJ33" s="1005">
        <f>'[1]Свод ФОТ 2016'!BY402</f>
        <v>2088500</v>
      </c>
      <c r="CK33" s="1004">
        <f t="shared" si="46"/>
        <v>125184770</v>
      </c>
      <c r="CL33" s="1004">
        <f t="shared" si="47"/>
        <v>1717781684.75</v>
      </c>
      <c r="CM33" s="433">
        <v>1842966454.75</v>
      </c>
      <c r="CO33" s="433"/>
    </row>
    <row r="34" spans="1:93" ht="16.5">
      <c r="A34" s="122" t="s">
        <v>789</v>
      </c>
      <c r="B34" s="1017" t="s">
        <v>790</v>
      </c>
      <c r="C34" s="993">
        <f t="shared" si="27"/>
        <v>35</v>
      </c>
      <c r="D34" s="732">
        <v>2764</v>
      </c>
      <c r="E34" s="994">
        <f t="shared" si="28"/>
        <v>2799</v>
      </c>
      <c r="F34" s="1018">
        <v>0</v>
      </c>
      <c r="G34" s="995">
        <f t="shared" si="29"/>
        <v>2799</v>
      </c>
      <c r="H34" s="1006">
        <f t="shared" si="0"/>
        <v>31250.82</v>
      </c>
      <c r="I34" s="897">
        <f>'Численность 2016'!E291</f>
        <v>1134</v>
      </c>
      <c r="J34" s="1006">
        <f t="shared" si="0"/>
        <v>38535.26</v>
      </c>
      <c r="K34" s="897">
        <f>'Численность 2016'!G291</f>
        <v>1272</v>
      </c>
      <c r="L34" s="1006">
        <f t="shared" si="0"/>
        <v>36779.949999999997</v>
      </c>
      <c r="M34" s="897">
        <f>'Численность 2016'!I291</f>
        <v>234</v>
      </c>
      <c r="N34" s="142">
        <f t="shared" si="30"/>
        <v>93061788.900000006</v>
      </c>
      <c r="O34" s="1006">
        <f t="shared" si="1"/>
        <v>35546.49</v>
      </c>
      <c r="P34" s="897">
        <f>'Численность 2016'!L291</f>
        <v>0</v>
      </c>
      <c r="Q34" s="1006">
        <f t="shared" si="2"/>
        <v>43923.6</v>
      </c>
      <c r="R34" s="897">
        <f>'Численность 2016'!N291</f>
        <v>0</v>
      </c>
      <c r="S34" s="1006">
        <f t="shared" si="3"/>
        <v>41904.99</v>
      </c>
      <c r="T34" s="897">
        <f>'Численность 2016'!P291</f>
        <v>0</v>
      </c>
      <c r="U34" s="142">
        <f t="shared" si="31"/>
        <v>0</v>
      </c>
      <c r="V34" s="1006">
        <f t="shared" si="4"/>
        <v>41274.050000000003</v>
      </c>
      <c r="W34" s="897">
        <f>'Численность 2016'!S291</f>
        <v>0</v>
      </c>
      <c r="X34" s="1006">
        <f t="shared" si="5"/>
        <v>51108.05</v>
      </c>
      <c r="Y34" s="897">
        <f>'Численность 2016'!U291</f>
        <v>0</v>
      </c>
      <c r="Z34" s="1006">
        <f t="shared" si="6"/>
        <v>48738.38</v>
      </c>
      <c r="AA34" s="897">
        <f>'Численность 2016'!W291</f>
        <v>0</v>
      </c>
      <c r="AB34" s="142">
        <f t="shared" si="32"/>
        <v>0</v>
      </c>
      <c r="AC34" s="1006">
        <f t="shared" si="7"/>
        <v>45569.73</v>
      </c>
      <c r="AD34" s="897">
        <f>'Численность 2016'!Z291</f>
        <v>0</v>
      </c>
      <c r="AE34" s="1006">
        <f t="shared" si="8"/>
        <v>56496.39</v>
      </c>
      <c r="AF34" s="897">
        <f>'Численность 2016'!AB291</f>
        <v>41</v>
      </c>
      <c r="AG34" s="142">
        <f t="shared" si="33"/>
        <v>2316351.9900000002</v>
      </c>
      <c r="AH34" s="1006">
        <f t="shared" si="9"/>
        <v>54161.08</v>
      </c>
      <c r="AI34" s="897">
        <f>'Численность 2016'!AE291</f>
        <v>44</v>
      </c>
      <c r="AJ34" s="1006">
        <f t="shared" si="10"/>
        <v>67273.070000000007</v>
      </c>
      <c r="AK34" s="897">
        <f>'Численность 2016'!AG291</f>
        <v>71</v>
      </c>
      <c r="AL34" s="1006">
        <f t="shared" si="11"/>
        <v>64113.51</v>
      </c>
      <c r="AM34" s="897">
        <f>'Численность 2016'!AI291</f>
        <v>3</v>
      </c>
      <c r="AN34" s="142">
        <f t="shared" si="34"/>
        <v>7351816.0199999996</v>
      </c>
      <c r="AO34" s="1006">
        <f t="shared" si="12"/>
        <v>29360.82</v>
      </c>
      <c r="AP34" s="897">
        <f>'Численность 2016'!AL291</f>
        <v>0</v>
      </c>
      <c r="AQ34" s="1006">
        <f t="shared" si="13"/>
        <v>36645.26</v>
      </c>
      <c r="AR34" s="897">
        <f>'Численность 2016'!AN291</f>
        <v>0</v>
      </c>
      <c r="AS34" s="1006">
        <f t="shared" si="14"/>
        <v>34889.949999999997</v>
      </c>
      <c r="AT34" s="897">
        <f>'Численность 2016'!AP291</f>
        <v>0</v>
      </c>
      <c r="AU34" s="142">
        <f t="shared" si="35"/>
        <v>0</v>
      </c>
      <c r="AV34" s="1006">
        <f t="shared" si="15"/>
        <v>35718.379999999997</v>
      </c>
      <c r="AW34" s="897">
        <f>'Численность 2016'!AS291</f>
        <v>0</v>
      </c>
      <c r="AX34" s="142">
        <f t="shared" si="36"/>
        <v>0</v>
      </c>
      <c r="AY34" s="143">
        <f t="shared" si="37"/>
        <v>102729956.91000001</v>
      </c>
      <c r="AZ34" s="1021">
        <f>'Численность 2016'!AV283</f>
        <v>1.00827</v>
      </c>
      <c r="BA34" s="1006">
        <f t="shared" si="16"/>
        <v>65258.22</v>
      </c>
      <c r="BB34" s="897">
        <f>'Численность 2016'!AX291</f>
        <v>0</v>
      </c>
      <c r="BC34" s="1006">
        <f t="shared" si="17"/>
        <v>81192.94</v>
      </c>
      <c r="BD34" s="897">
        <f>'Численность 2016'!AZ291</f>
        <v>0</v>
      </c>
      <c r="BE34" s="1006">
        <f t="shared" si="18"/>
        <v>77353.2</v>
      </c>
      <c r="BF34" s="897">
        <f>'Численность 2016'!BB291</f>
        <v>0</v>
      </c>
      <c r="BG34" s="142">
        <f t="shared" si="38"/>
        <v>0</v>
      </c>
      <c r="BH34" s="1006">
        <f t="shared" si="19"/>
        <v>77787.27</v>
      </c>
      <c r="BI34" s="897">
        <f>'Численность 2016'!BE291</f>
        <v>0</v>
      </c>
      <c r="BJ34" s="1006">
        <f t="shared" si="20"/>
        <v>96908.93</v>
      </c>
      <c r="BK34" s="897">
        <f>'Численность 2016'!BG291</f>
        <v>0</v>
      </c>
      <c r="BL34" s="142">
        <f t="shared" si="39"/>
        <v>0</v>
      </c>
      <c r="BM34" s="144">
        <f t="shared" si="40"/>
        <v>0</v>
      </c>
      <c r="BN34" s="1006">
        <f t="shared" si="21"/>
        <v>25708.01</v>
      </c>
      <c r="BO34" s="897">
        <f>'Численность 2016'!BK291</f>
        <v>0</v>
      </c>
      <c r="BP34" s="1006">
        <f t="shared" si="22"/>
        <v>27763.9</v>
      </c>
      <c r="BQ34" s="897">
        <f>'Численность 2016'!BM291</f>
        <v>0</v>
      </c>
      <c r="BR34" s="1006">
        <f t="shared" si="23"/>
        <v>23851.91</v>
      </c>
      <c r="BS34" s="897">
        <f>'Численность 2016'!BO291</f>
        <v>0</v>
      </c>
      <c r="BT34" s="144">
        <f t="shared" si="41"/>
        <v>0</v>
      </c>
      <c r="BU34" s="1006">
        <f t="shared" si="24"/>
        <v>42444.76</v>
      </c>
      <c r="BV34" s="897">
        <f>'Численность 2016'!BR291</f>
        <v>0</v>
      </c>
      <c r="BW34" s="1006">
        <f t="shared" si="25"/>
        <v>46158.78</v>
      </c>
      <c r="BX34" s="897">
        <f>'Численность 2016'!BT291</f>
        <v>0</v>
      </c>
      <c r="BY34" s="1006">
        <f t="shared" si="26"/>
        <v>39091.67</v>
      </c>
      <c r="BZ34" s="897">
        <f>'Численность 2016'!BV291</f>
        <v>0</v>
      </c>
      <c r="CA34" s="144">
        <f t="shared" si="42"/>
        <v>0</v>
      </c>
      <c r="CB34" s="146">
        <f t="shared" si="48"/>
        <v>103579533.65000001</v>
      </c>
      <c r="CC34" s="1007">
        <f>0</f>
        <v>0</v>
      </c>
      <c r="CD34" s="999">
        <f t="shared" si="43"/>
        <v>103579533.65000001</v>
      </c>
      <c r="CE34" s="1000">
        <f t="shared" si="49"/>
        <v>103579533.65000001</v>
      </c>
      <c r="CF34" s="1001">
        <v>101902049.04000001</v>
      </c>
      <c r="CG34" s="1009">
        <f t="shared" si="44"/>
        <v>1677484.6099999994</v>
      </c>
      <c r="CH34" s="1003"/>
      <c r="CI34" s="1004">
        <f t="shared" si="45"/>
        <v>7313787</v>
      </c>
      <c r="CJ34" s="1005">
        <v>0</v>
      </c>
      <c r="CK34" s="1004">
        <f t="shared" si="46"/>
        <v>7313787</v>
      </c>
      <c r="CL34" s="1004">
        <f t="shared" si="47"/>
        <v>96265746.650000006</v>
      </c>
      <c r="CM34" s="433">
        <v>103579533.65000001</v>
      </c>
      <c r="CO34" s="897" t="s">
        <v>816</v>
      </c>
    </row>
    <row r="35" spans="1:93" ht="17.25" thickBot="1">
      <c r="A35" s="1022" t="s">
        <v>789</v>
      </c>
      <c r="B35" s="1017" t="s">
        <v>791</v>
      </c>
      <c r="C35" s="993">
        <f t="shared" si="27"/>
        <v>-10.000000000000455</v>
      </c>
      <c r="D35" s="732">
        <v>3214.0000000000005</v>
      </c>
      <c r="E35" s="994">
        <f t="shared" si="28"/>
        <v>3204</v>
      </c>
      <c r="F35" s="1018">
        <f>'[1]ФОТ 2016 29.02.16'!C382</f>
        <v>183</v>
      </c>
      <c r="G35" s="995">
        <f t="shared" si="29"/>
        <v>3021</v>
      </c>
      <c r="H35" s="1006">
        <f>H36</f>
        <v>31250.82</v>
      </c>
      <c r="I35" s="1023">
        <f>'Численность 2016'!E304</f>
        <v>1256</v>
      </c>
      <c r="J35" s="1006">
        <f>J36</f>
        <v>38535.26</v>
      </c>
      <c r="K35" s="1023">
        <f>'Численность 2016'!G304</f>
        <v>1344</v>
      </c>
      <c r="L35" s="1006">
        <f>L36</f>
        <v>36779.949999999997</v>
      </c>
      <c r="M35" s="1023">
        <f>'Численность 2016'!I304</f>
        <v>354</v>
      </c>
      <c r="N35" s="142">
        <f t="shared" si="30"/>
        <v>104062521.66</v>
      </c>
      <c r="O35" s="1006">
        <f>O36</f>
        <v>35546.49</v>
      </c>
      <c r="P35" s="1023">
        <f>'Численность 2016'!L304</f>
        <v>0</v>
      </c>
      <c r="Q35" s="1006">
        <f>Q36</f>
        <v>43923.6</v>
      </c>
      <c r="R35" s="1023">
        <f>'Численность 2016'!N304</f>
        <v>0</v>
      </c>
      <c r="S35" s="1006">
        <f>S36</f>
        <v>41904.99</v>
      </c>
      <c r="T35" s="1023">
        <f>'Численность 2016'!P304</f>
        <v>0</v>
      </c>
      <c r="U35" s="142">
        <f t="shared" si="31"/>
        <v>0</v>
      </c>
      <c r="V35" s="1006">
        <f>V36</f>
        <v>41274.050000000003</v>
      </c>
      <c r="W35" s="1023">
        <f>'Численность 2016'!S304</f>
        <v>0</v>
      </c>
      <c r="X35" s="1006">
        <f>X36</f>
        <v>51108.05</v>
      </c>
      <c r="Y35" s="1023">
        <f>'Численность 2016'!U304</f>
        <v>0</v>
      </c>
      <c r="Z35" s="1006">
        <f>Z36</f>
        <v>48738.38</v>
      </c>
      <c r="AA35" s="1023">
        <f>'Численность 2016'!W304</f>
        <v>0</v>
      </c>
      <c r="AB35" s="142">
        <f t="shared" si="32"/>
        <v>0</v>
      </c>
      <c r="AC35" s="1006">
        <f>AC36</f>
        <v>45569.73</v>
      </c>
      <c r="AD35" s="1023">
        <f>'Численность 2016'!Z304</f>
        <v>0</v>
      </c>
      <c r="AE35" s="1006">
        <f>AE36</f>
        <v>56496.39</v>
      </c>
      <c r="AF35" s="1023">
        <f>'Численность 2016'!AB304</f>
        <v>0</v>
      </c>
      <c r="AG35" s="142">
        <f t="shared" si="33"/>
        <v>0</v>
      </c>
      <c r="AH35" s="1006">
        <f>AH36</f>
        <v>54161.08</v>
      </c>
      <c r="AI35" s="1023">
        <f>'Численность 2016'!AE304</f>
        <v>12</v>
      </c>
      <c r="AJ35" s="1006">
        <f>AJ36</f>
        <v>67273.070000000007</v>
      </c>
      <c r="AK35" s="1023">
        <f>'Численность 2016'!AG304</f>
        <v>26</v>
      </c>
      <c r="AL35" s="1006">
        <f>AL36</f>
        <v>64113.51</v>
      </c>
      <c r="AM35" s="1023">
        <f>'Численность 2016'!AI304</f>
        <v>0</v>
      </c>
      <c r="AN35" s="142">
        <f t="shared" si="34"/>
        <v>2399032.7799999998</v>
      </c>
      <c r="AO35" s="1006">
        <f>AO36</f>
        <v>29360.82</v>
      </c>
      <c r="AP35" s="1023">
        <f>'Численность 2016'!AL304</f>
        <v>0</v>
      </c>
      <c r="AQ35" s="1006">
        <f>AQ36</f>
        <v>36645.26</v>
      </c>
      <c r="AR35" s="1023">
        <f>'Численность 2016'!AN304</f>
        <v>0</v>
      </c>
      <c r="AS35" s="1006">
        <f>AS36</f>
        <v>34889.949999999997</v>
      </c>
      <c r="AT35" s="1023">
        <f>'Численность 2016'!AP304</f>
        <v>0</v>
      </c>
      <c r="AU35" s="142">
        <f t="shared" si="35"/>
        <v>0</v>
      </c>
      <c r="AV35" s="1006">
        <f>AV36</f>
        <v>35718.379999999997</v>
      </c>
      <c r="AW35" s="1023">
        <f>'Численность 2016'!AS304</f>
        <v>0</v>
      </c>
      <c r="AX35" s="142">
        <f t="shared" si="36"/>
        <v>0</v>
      </c>
      <c r="AY35" s="143">
        <f t="shared" si="37"/>
        <v>106461554.44</v>
      </c>
      <c r="AZ35" s="1021">
        <f>'Численность 2016'!AV292</f>
        <v>1.0960099999999999</v>
      </c>
      <c r="BA35" s="1006">
        <f>BA36</f>
        <v>65258.22</v>
      </c>
      <c r="BB35" s="1023">
        <f>'Численность 2016'!AX304</f>
        <v>0</v>
      </c>
      <c r="BC35" s="1006">
        <f>BC36</f>
        <v>81192.94</v>
      </c>
      <c r="BD35" s="1023">
        <f>'Численность 2016'!AZ304</f>
        <v>0</v>
      </c>
      <c r="BE35" s="1006">
        <f>BE36</f>
        <v>77353.2</v>
      </c>
      <c r="BF35" s="1023">
        <f>'Численность 2016'!BB304</f>
        <v>0</v>
      </c>
      <c r="BG35" s="142">
        <f t="shared" si="38"/>
        <v>0</v>
      </c>
      <c r="BH35" s="1006">
        <f>BH36</f>
        <v>77787.27</v>
      </c>
      <c r="BI35" s="1023">
        <f>'Численность 2016'!BE304</f>
        <v>0</v>
      </c>
      <c r="BJ35" s="1006">
        <f>BJ36</f>
        <v>96908.93</v>
      </c>
      <c r="BK35" s="1023">
        <f>'Численность 2016'!BG304</f>
        <v>0</v>
      </c>
      <c r="BL35" s="142">
        <f t="shared" si="39"/>
        <v>0</v>
      </c>
      <c r="BM35" s="144">
        <f t="shared" si="40"/>
        <v>0</v>
      </c>
      <c r="BN35" s="1006">
        <f>BN36</f>
        <v>25708.01</v>
      </c>
      <c r="BO35" s="1023">
        <f>'Численность 2016'!BK304</f>
        <v>0</v>
      </c>
      <c r="BP35" s="1006">
        <f>BP36</f>
        <v>27763.9</v>
      </c>
      <c r="BQ35" s="1023">
        <f>'Численность 2016'!BM304</f>
        <v>14</v>
      </c>
      <c r="BR35" s="1006">
        <f>BR36</f>
        <v>23851.91</v>
      </c>
      <c r="BS35" s="1023">
        <f>'Численность 2016'!BO304</f>
        <v>15</v>
      </c>
      <c r="BT35" s="144">
        <f t="shared" si="41"/>
        <v>746473.25</v>
      </c>
      <c r="BU35" s="1006">
        <f>BU36</f>
        <v>42444.76</v>
      </c>
      <c r="BV35" s="1023">
        <f>'Численность 2016'!BR304</f>
        <v>0</v>
      </c>
      <c r="BW35" s="1006">
        <f>BW36</f>
        <v>46158.78</v>
      </c>
      <c r="BX35" s="1023">
        <f>'Численность 2016'!BT304</f>
        <v>0</v>
      </c>
      <c r="BY35" s="1006">
        <f>BY36</f>
        <v>39091.67</v>
      </c>
      <c r="BZ35" s="1023">
        <f>'Численность 2016'!BV304</f>
        <v>0</v>
      </c>
      <c r="CA35" s="144">
        <f t="shared" si="42"/>
        <v>0</v>
      </c>
      <c r="CB35" s="146">
        <f t="shared" si="48"/>
        <v>117429401.53</v>
      </c>
      <c r="CC35" s="1024">
        <f>'старое не смотреть'!F385</f>
        <v>8731225.0399999991</v>
      </c>
      <c r="CD35" s="999">
        <f t="shared" si="43"/>
        <v>126160626.56999999</v>
      </c>
      <c r="CE35" s="1000">
        <f t="shared" si="49"/>
        <v>126160626.56999999</v>
      </c>
      <c r="CF35" s="1001">
        <v>127998305.53</v>
      </c>
      <c r="CG35" s="1002">
        <f t="shared" si="44"/>
        <v>-1837678.9600000083</v>
      </c>
      <c r="CH35" s="1003"/>
      <c r="CI35" s="1004">
        <f t="shared" si="45"/>
        <v>7893873</v>
      </c>
      <c r="CJ35" s="1005">
        <f>'[1]Свод ФОТ 2016'!BY421</f>
        <v>478179</v>
      </c>
      <c r="CK35" s="1004">
        <f t="shared" si="46"/>
        <v>8372052</v>
      </c>
      <c r="CL35" s="1004">
        <f t="shared" si="47"/>
        <v>117788574.56999999</v>
      </c>
      <c r="CM35" s="433">
        <v>126160626.56999999</v>
      </c>
      <c r="CO35" s="1196" t="s">
        <v>813</v>
      </c>
    </row>
    <row r="36" spans="1:93" s="1222" customFormat="1">
      <c r="A36" s="1207"/>
      <c r="B36" s="1208" t="s">
        <v>792</v>
      </c>
      <c r="C36" s="1209">
        <f>SUM(C7:C35)</f>
        <v>4953</v>
      </c>
      <c r="D36" s="1209">
        <f>SUM(D7:D35)</f>
        <v>95944</v>
      </c>
      <c r="E36" s="1210">
        <f>SUM(E7:E35)</f>
        <v>100897</v>
      </c>
      <c r="F36" s="1211">
        <f>SUM(F7:F35)</f>
        <v>20782</v>
      </c>
      <c r="G36" s="1212">
        <f>SUM(G7:G35)</f>
        <v>80115</v>
      </c>
      <c r="H36" s="1213">
        <f>Нормативы!M20</f>
        <v>31250.82</v>
      </c>
      <c r="I36" s="1214">
        <f>SUM(I7:I35)</f>
        <v>28190</v>
      </c>
      <c r="J36" s="1215">
        <f>Нормативы!N20</f>
        <v>38535.26</v>
      </c>
      <c r="K36" s="1214">
        <f t="shared" ref="K36:BT36" si="50">SUM(K7:K35)</f>
        <v>28794</v>
      </c>
      <c r="L36" s="1215">
        <f>Нормативы!O20</f>
        <v>36779.949999999997</v>
      </c>
      <c r="M36" s="1214">
        <f t="shared" si="50"/>
        <v>5366</v>
      </c>
      <c r="N36" s="1216">
        <f t="shared" si="50"/>
        <v>2187906103.9400001</v>
      </c>
      <c r="O36" s="1215">
        <f>Нормативы!M22</f>
        <v>35546.49</v>
      </c>
      <c r="P36" s="1214">
        <f t="shared" si="50"/>
        <v>3479</v>
      </c>
      <c r="Q36" s="1215">
        <f>Нормативы!N22</f>
        <v>43923.6</v>
      </c>
      <c r="R36" s="1214">
        <f t="shared" si="50"/>
        <v>5554</v>
      </c>
      <c r="S36" s="1215">
        <f>Нормативы!O22</f>
        <v>41904.99</v>
      </c>
      <c r="T36" s="1214">
        <f t="shared" si="50"/>
        <v>1336</v>
      </c>
      <c r="U36" s="1216">
        <f t="shared" si="50"/>
        <v>423602979.75</v>
      </c>
      <c r="V36" s="1215">
        <f>Нормативы!M21</f>
        <v>41274.050000000003</v>
      </c>
      <c r="W36" s="1214">
        <f t="shared" si="50"/>
        <v>1306</v>
      </c>
      <c r="X36" s="1215">
        <f>Нормативы!N21</f>
        <v>51108.05</v>
      </c>
      <c r="Y36" s="1214">
        <f t="shared" si="50"/>
        <v>1495</v>
      </c>
      <c r="Z36" s="1215">
        <f>Нормативы!O21</f>
        <v>48738.38</v>
      </c>
      <c r="AA36" s="1214">
        <f t="shared" si="50"/>
        <v>498</v>
      </c>
      <c r="AB36" s="1216">
        <f t="shared" si="50"/>
        <v>154582157.28999999</v>
      </c>
      <c r="AC36" s="1215">
        <f>Нормативы!M23</f>
        <v>45569.73</v>
      </c>
      <c r="AD36" s="1214">
        <f t="shared" si="50"/>
        <v>410</v>
      </c>
      <c r="AE36" s="1215">
        <f>Нормативы!N23</f>
        <v>56496.39</v>
      </c>
      <c r="AF36" s="1214">
        <f t="shared" si="50"/>
        <v>403</v>
      </c>
      <c r="AG36" s="1216">
        <f t="shared" si="50"/>
        <v>41451634.470000006</v>
      </c>
      <c r="AH36" s="1215">
        <f>Нормативы!M30</f>
        <v>54161.08</v>
      </c>
      <c r="AI36" s="1214">
        <f t="shared" si="50"/>
        <v>462</v>
      </c>
      <c r="AJ36" s="1215">
        <f>Нормативы!N30</f>
        <v>67273.070000000007</v>
      </c>
      <c r="AK36" s="1214">
        <f t="shared" si="50"/>
        <v>961</v>
      </c>
      <c r="AL36" s="1215">
        <f>Нормативы!O30</f>
        <v>64113.51</v>
      </c>
      <c r="AM36" s="1217">
        <f t="shared" si="50"/>
        <v>72</v>
      </c>
      <c r="AN36" s="1216">
        <f t="shared" si="50"/>
        <v>94288011.950000003</v>
      </c>
      <c r="AO36" s="1215">
        <f>Нормативы!M31</f>
        <v>29360.82</v>
      </c>
      <c r="AP36" s="1214">
        <f t="shared" si="50"/>
        <v>37</v>
      </c>
      <c r="AQ36" s="1215">
        <f>Нормативы!N31</f>
        <v>36645.26</v>
      </c>
      <c r="AR36" s="1214">
        <f t="shared" si="50"/>
        <v>52</v>
      </c>
      <c r="AS36" s="1215">
        <f>Нормативы!O31</f>
        <v>34889.949999999997</v>
      </c>
      <c r="AT36" s="1214">
        <f t="shared" si="50"/>
        <v>25</v>
      </c>
      <c r="AU36" s="1216">
        <f t="shared" si="50"/>
        <v>3864152.61</v>
      </c>
      <c r="AV36" s="1215">
        <f>Нормативы!M32</f>
        <v>35718.379999999997</v>
      </c>
      <c r="AW36" s="1214">
        <f t="shared" si="50"/>
        <v>666</v>
      </c>
      <c r="AX36" s="1216">
        <f t="shared" si="50"/>
        <v>23788441.080000002</v>
      </c>
      <c r="AY36" s="1218">
        <f t="shared" si="50"/>
        <v>2929483481.0899997</v>
      </c>
      <c r="AZ36" s="1217">
        <f t="shared" si="50"/>
        <v>33.098889999999997</v>
      </c>
      <c r="BA36" s="1215">
        <f>Нормативы!M24</f>
        <v>65258.22</v>
      </c>
      <c r="BB36" s="1214">
        <f t="shared" si="50"/>
        <v>0</v>
      </c>
      <c r="BC36" s="1215">
        <f>Нормативы!N24</f>
        <v>81192.94</v>
      </c>
      <c r="BD36" s="1214">
        <f t="shared" si="50"/>
        <v>134</v>
      </c>
      <c r="BE36" s="1215">
        <f>Нормативы!O24</f>
        <v>77353.2</v>
      </c>
      <c r="BF36" s="1214">
        <f t="shared" si="50"/>
        <v>15</v>
      </c>
      <c r="BG36" s="1216">
        <f t="shared" si="50"/>
        <v>12040151.960000001</v>
      </c>
      <c r="BH36" s="1215">
        <f>Нормативы!M25</f>
        <v>77787.27</v>
      </c>
      <c r="BI36" s="1214">
        <f t="shared" si="50"/>
        <v>184</v>
      </c>
      <c r="BJ36" s="1215">
        <f>Нормативы!N25</f>
        <v>96908.93</v>
      </c>
      <c r="BK36" s="1214">
        <f t="shared" si="50"/>
        <v>195</v>
      </c>
      <c r="BL36" s="1216">
        <f t="shared" si="50"/>
        <v>33210099.030000001</v>
      </c>
      <c r="BM36" s="1217">
        <f t="shared" si="50"/>
        <v>45250250.990000002</v>
      </c>
      <c r="BN36" s="1215">
        <f>Нормативы!M28</f>
        <v>25708.01</v>
      </c>
      <c r="BO36" s="1214">
        <f t="shared" si="50"/>
        <v>0</v>
      </c>
      <c r="BP36" s="1215">
        <f>Нормативы!N28</f>
        <v>27763.9</v>
      </c>
      <c r="BQ36" s="1214">
        <f t="shared" si="50"/>
        <v>142</v>
      </c>
      <c r="BR36" s="1215">
        <f>Нормативы!O28</f>
        <v>23851.91</v>
      </c>
      <c r="BS36" s="1214">
        <f t="shared" si="50"/>
        <v>219</v>
      </c>
      <c r="BT36" s="1218">
        <f t="shared" si="50"/>
        <v>9166042.0899999999</v>
      </c>
      <c r="BU36" s="1215">
        <f>Нормативы!M29</f>
        <v>42444.76</v>
      </c>
      <c r="BV36" s="1214">
        <f t="shared" ref="BV36:CE36" si="51">SUM(BV7:BV35)</f>
        <v>1</v>
      </c>
      <c r="BW36" s="1215">
        <f>Нормативы!N29</f>
        <v>46158.78</v>
      </c>
      <c r="BX36" s="1214">
        <f t="shared" si="51"/>
        <v>72</v>
      </c>
      <c r="BY36" s="1215">
        <f>Нормативы!O29</f>
        <v>39091.67</v>
      </c>
      <c r="BZ36" s="1214">
        <f t="shared" si="51"/>
        <v>47</v>
      </c>
      <c r="CA36" s="1218">
        <f t="shared" si="51"/>
        <v>5203185.41</v>
      </c>
      <c r="CB36" s="1219">
        <f t="shared" si="51"/>
        <v>3254609395.0600004</v>
      </c>
      <c r="CC36" s="1216">
        <f t="shared" si="51"/>
        <v>1803243921.0600002</v>
      </c>
      <c r="CD36" s="1215">
        <f t="shared" si="51"/>
        <v>5057853316.1199989</v>
      </c>
      <c r="CE36" s="1220">
        <f t="shared" si="51"/>
        <v>5057853316.1199989</v>
      </c>
      <c r="CF36" s="1221">
        <f>SUM(CF7:CF35)</f>
        <v>5045728768.1300001</v>
      </c>
      <c r="CG36" s="1221">
        <f>SUM(CG7:CG35)</f>
        <v>12124547.990000013</v>
      </c>
      <c r="CH36" s="1025"/>
      <c r="CI36" s="1026">
        <f>SUM(CI7:CI35)</f>
        <v>208059075</v>
      </c>
      <c r="CJ36" s="1026">
        <f>SUM(CJ7:CJ35)</f>
        <v>62816493.320000008</v>
      </c>
      <c r="CK36" s="1026">
        <f>SUM(CK7:CK35)</f>
        <v>270875568.31999999</v>
      </c>
      <c r="CL36" s="1026">
        <f>SUM(CL7:CL35)</f>
        <v>4786977747.7999992</v>
      </c>
      <c r="CN36" s="1222" t="s">
        <v>793</v>
      </c>
      <c r="CO36" s="1223">
        <v>58606405</v>
      </c>
    </row>
    <row r="37" spans="1:93" s="1222" customFormat="1">
      <c r="A37" s="1224"/>
      <c r="B37" s="1027" t="s">
        <v>794</v>
      </c>
      <c r="C37" s="1028"/>
      <c r="D37" s="1028"/>
      <c r="E37" s="1028"/>
      <c r="F37" s="1027"/>
      <c r="G37" s="1224"/>
      <c r="H37" s="1225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4"/>
      <c r="AH37" s="1224"/>
      <c r="AI37" s="1224"/>
      <c r="AJ37" s="1224"/>
      <c r="AK37" s="1224"/>
      <c r="AL37" s="1224"/>
      <c r="AM37" s="1224"/>
      <c r="AN37" s="1224"/>
      <c r="AO37" s="1224"/>
      <c r="AP37" s="1224"/>
      <c r="AQ37" s="1224"/>
      <c r="AR37" s="1224"/>
      <c r="AS37" s="1224"/>
      <c r="AT37" s="1224"/>
      <c r="AU37" s="1224"/>
      <c r="AV37" s="1224"/>
      <c r="AW37" s="1224"/>
      <c r="AX37" s="1224"/>
      <c r="AY37" s="1224"/>
      <c r="AZ37" s="1224"/>
      <c r="BA37" s="1224"/>
      <c r="BB37" s="1224"/>
      <c r="BC37" s="1224"/>
      <c r="BD37" s="1224"/>
      <c r="BE37" s="1224"/>
      <c r="BF37" s="1224"/>
      <c r="BG37" s="1224"/>
      <c r="BH37" s="1224"/>
      <c r="BI37" s="1224"/>
      <c r="BJ37" s="1224"/>
      <c r="BK37" s="1224">
        <f>BK33+BI33</f>
        <v>379</v>
      </c>
      <c r="BL37" s="1224"/>
      <c r="BM37" s="1224"/>
      <c r="BN37" s="1224"/>
      <c r="BO37" s="1224"/>
      <c r="BP37" s="1224"/>
      <c r="BQ37" s="1224"/>
      <c r="BR37" s="1224"/>
      <c r="BS37" s="1224">
        <f>BO33+BQ33+BS33</f>
        <v>225</v>
      </c>
      <c r="BT37" s="1224"/>
      <c r="BU37" s="1224"/>
      <c r="BV37" s="1224"/>
      <c r="BW37" s="1224"/>
      <c r="BX37" s="1224"/>
      <c r="BY37" s="1224"/>
      <c r="BZ37" s="1224">
        <f>BZ33+BX33+BV33</f>
        <v>120</v>
      </c>
      <c r="CA37" s="1224"/>
      <c r="CB37" s="1224"/>
      <c r="CC37" s="1224"/>
      <c r="CD37" s="1031"/>
      <c r="CE37" s="1029">
        <v>0</v>
      </c>
      <c r="CF37" s="1029">
        <v>12344232.84</v>
      </c>
      <c r="CG37" s="1031">
        <f>CE37-CF37</f>
        <v>-12344232.84</v>
      </c>
      <c r="CH37" s="1100"/>
      <c r="CI37" s="1100"/>
      <c r="CJ37" s="1100"/>
      <c r="CK37" s="1100"/>
      <c r="CL37" s="1100">
        <v>129541265.5</v>
      </c>
      <c r="CN37" s="1222">
        <v>479793.8</v>
      </c>
      <c r="CO37" s="1224">
        <f>CG36-CD37</f>
        <v>12124547.990000013</v>
      </c>
    </row>
    <row r="38" spans="1:93" s="1222" customFormat="1">
      <c r="A38" s="1224"/>
      <c r="B38" s="1026" t="s">
        <v>116</v>
      </c>
      <c r="C38" s="1030"/>
      <c r="D38" s="1030"/>
      <c r="E38" s="1030"/>
      <c r="F38" s="1031"/>
      <c r="G38" s="1031">
        <f>G36+G37</f>
        <v>80115</v>
      </c>
      <c r="H38" s="1226">
        <f t="shared" ref="H38:BS38" si="52">H36+H37</f>
        <v>31250.82</v>
      </c>
      <c r="I38" s="1029">
        <f t="shared" si="52"/>
        <v>28190</v>
      </c>
      <c r="J38" s="1031">
        <f t="shared" si="52"/>
        <v>38535.26</v>
      </c>
      <c r="K38" s="1029">
        <f t="shared" si="52"/>
        <v>28794</v>
      </c>
      <c r="L38" s="1031">
        <f t="shared" si="52"/>
        <v>36779.949999999997</v>
      </c>
      <c r="M38" s="1029">
        <f t="shared" si="52"/>
        <v>5366</v>
      </c>
      <c r="N38" s="1031">
        <f t="shared" si="52"/>
        <v>2187906103.9400001</v>
      </c>
      <c r="O38" s="1031">
        <f t="shared" si="52"/>
        <v>35546.49</v>
      </c>
      <c r="P38" s="1029">
        <f t="shared" si="52"/>
        <v>3479</v>
      </c>
      <c r="Q38" s="1031">
        <f t="shared" si="52"/>
        <v>43923.6</v>
      </c>
      <c r="R38" s="1029">
        <f t="shared" si="52"/>
        <v>5554</v>
      </c>
      <c r="S38" s="1031">
        <f t="shared" si="52"/>
        <v>41904.99</v>
      </c>
      <c r="T38" s="1031">
        <f t="shared" si="52"/>
        <v>1336</v>
      </c>
      <c r="U38" s="1031">
        <f t="shared" si="52"/>
        <v>423602979.75</v>
      </c>
      <c r="V38" s="1031">
        <f t="shared" si="52"/>
        <v>41274.050000000003</v>
      </c>
      <c r="W38" s="1031">
        <f t="shared" si="52"/>
        <v>1306</v>
      </c>
      <c r="X38" s="1031">
        <f t="shared" si="52"/>
        <v>51108.05</v>
      </c>
      <c r="Y38" s="1031">
        <f t="shared" si="52"/>
        <v>1495</v>
      </c>
      <c r="Z38" s="1031">
        <f t="shared" si="52"/>
        <v>48738.38</v>
      </c>
      <c r="AA38" s="1031">
        <f t="shared" si="52"/>
        <v>498</v>
      </c>
      <c r="AB38" s="1031">
        <f t="shared" si="52"/>
        <v>154582157.28999999</v>
      </c>
      <c r="AC38" s="1031">
        <f t="shared" si="52"/>
        <v>45569.73</v>
      </c>
      <c r="AD38" s="1031">
        <f t="shared" si="52"/>
        <v>410</v>
      </c>
      <c r="AE38" s="1031">
        <f t="shared" si="52"/>
        <v>56496.39</v>
      </c>
      <c r="AF38" s="1031">
        <f t="shared" si="52"/>
        <v>403</v>
      </c>
      <c r="AG38" s="1031">
        <f t="shared" si="52"/>
        <v>41451634.470000006</v>
      </c>
      <c r="AH38" s="1031">
        <f t="shared" si="52"/>
        <v>54161.08</v>
      </c>
      <c r="AI38" s="1031">
        <f t="shared" si="52"/>
        <v>462</v>
      </c>
      <c r="AJ38" s="1031">
        <f t="shared" si="52"/>
        <v>67273.070000000007</v>
      </c>
      <c r="AK38" s="1031">
        <f t="shared" si="52"/>
        <v>961</v>
      </c>
      <c r="AL38" s="1031">
        <f t="shared" si="52"/>
        <v>64113.51</v>
      </c>
      <c r="AM38" s="1031">
        <f t="shared" si="52"/>
        <v>72</v>
      </c>
      <c r="AN38" s="1031">
        <f t="shared" si="52"/>
        <v>94288011.950000003</v>
      </c>
      <c r="AO38" s="1031">
        <f t="shared" si="52"/>
        <v>29360.82</v>
      </c>
      <c r="AP38" s="1031">
        <f t="shared" si="52"/>
        <v>37</v>
      </c>
      <c r="AQ38" s="1031">
        <f t="shared" si="52"/>
        <v>36645.26</v>
      </c>
      <c r="AR38" s="1031">
        <f t="shared" si="52"/>
        <v>52</v>
      </c>
      <c r="AS38" s="1031">
        <f t="shared" si="52"/>
        <v>34889.949999999997</v>
      </c>
      <c r="AT38" s="1031">
        <f t="shared" si="52"/>
        <v>25</v>
      </c>
      <c r="AU38" s="1031">
        <f t="shared" si="52"/>
        <v>3864152.61</v>
      </c>
      <c r="AV38" s="1031">
        <f t="shared" si="52"/>
        <v>35718.379999999997</v>
      </c>
      <c r="AW38" s="1031">
        <f t="shared" si="52"/>
        <v>666</v>
      </c>
      <c r="AX38" s="1031">
        <f t="shared" si="52"/>
        <v>23788441.080000002</v>
      </c>
      <c r="AY38" s="1031">
        <f t="shared" si="52"/>
        <v>2929483481.0899997</v>
      </c>
      <c r="AZ38" s="1031">
        <f t="shared" si="52"/>
        <v>33.098889999999997</v>
      </c>
      <c r="BA38" s="1031">
        <f t="shared" si="52"/>
        <v>65258.22</v>
      </c>
      <c r="BB38" s="1031">
        <f t="shared" si="52"/>
        <v>0</v>
      </c>
      <c r="BC38" s="1031">
        <f t="shared" si="52"/>
        <v>81192.94</v>
      </c>
      <c r="BD38" s="1031">
        <f t="shared" si="52"/>
        <v>134</v>
      </c>
      <c r="BE38" s="1031">
        <f t="shared" si="52"/>
        <v>77353.2</v>
      </c>
      <c r="BF38" s="1031">
        <f t="shared" si="52"/>
        <v>15</v>
      </c>
      <c r="BG38" s="1031">
        <f t="shared" si="52"/>
        <v>12040151.960000001</v>
      </c>
      <c r="BH38" s="1031">
        <f t="shared" si="52"/>
        <v>77787.27</v>
      </c>
      <c r="BI38" s="1031">
        <f t="shared" si="52"/>
        <v>184</v>
      </c>
      <c r="BJ38" s="1031">
        <f t="shared" si="52"/>
        <v>96908.93</v>
      </c>
      <c r="BK38" s="1031">
        <f t="shared" si="52"/>
        <v>574</v>
      </c>
      <c r="BL38" s="1031">
        <f t="shared" si="52"/>
        <v>33210099.030000001</v>
      </c>
      <c r="BM38" s="1031">
        <f t="shared" si="52"/>
        <v>45250250.990000002</v>
      </c>
      <c r="BN38" s="1031">
        <f t="shared" si="52"/>
        <v>25708.01</v>
      </c>
      <c r="BO38" s="1031">
        <f t="shared" si="52"/>
        <v>0</v>
      </c>
      <c r="BP38" s="1031">
        <f t="shared" si="52"/>
        <v>27763.9</v>
      </c>
      <c r="BQ38" s="1031">
        <f t="shared" si="52"/>
        <v>142</v>
      </c>
      <c r="BR38" s="1031">
        <f t="shared" si="52"/>
        <v>23851.91</v>
      </c>
      <c r="BS38" s="1031">
        <f t="shared" si="52"/>
        <v>444</v>
      </c>
      <c r="BT38" s="1031">
        <f t="shared" ref="BT38:CF38" si="53">BT36+BT37</f>
        <v>9166042.0899999999</v>
      </c>
      <c r="BU38" s="1031">
        <f t="shared" si="53"/>
        <v>42444.76</v>
      </c>
      <c r="BV38" s="1031">
        <f t="shared" si="53"/>
        <v>1</v>
      </c>
      <c r="BW38" s="1031">
        <f t="shared" si="53"/>
        <v>46158.78</v>
      </c>
      <c r="BX38" s="1031">
        <f t="shared" si="53"/>
        <v>72</v>
      </c>
      <c r="BY38" s="1031">
        <f t="shared" si="53"/>
        <v>39091.67</v>
      </c>
      <c r="BZ38" s="1031">
        <f t="shared" si="53"/>
        <v>167</v>
      </c>
      <c r="CA38" s="1031">
        <f t="shared" si="53"/>
        <v>5203185.41</v>
      </c>
      <c r="CB38" s="1031">
        <f t="shared" si="53"/>
        <v>3254609395.0600004</v>
      </c>
      <c r="CC38" s="1031">
        <f t="shared" si="53"/>
        <v>1803243921.0600002</v>
      </c>
      <c r="CD38" s="1227">
        <f t="shared" si="53"/>
        <v>5057853316.1199989</v>
      </c>
      <c r="CE38" s="1031">
        <f t="shared" si="53"/>
        <v>5057853316.1199989</v>
      </c>
      <c r="CF38" s="1031">
        <f t="shared" si="53"/>
        <v>5058073000.9700003</v>
      </c>
      <c r="CG38" s="1031">
        <f>CE38-CF38</f>
        <v>-219684.85000133514</v>
      </c>
      <c r="CH38" s="1228"/>
      <c r="CI38" s="1100"/>
      <c r="CJ38" s="1100"/>
      <c r="CK38" s="1100">
        <f>CK37+CK36</f>
        <v>270875568.31999999</v>
      </c>
      <c r="CL38" s="1100">
        <f>CL37+CL36</f>
        <v>4916519013.2999992</v>
      </c>
      <c r="CN38" s="1229">
        <f>CF36-CN37</f>
        <v>5045248974.3299999</v>
      </c>
      <c r="CO38" s="1224"/>
    </row>
    <row r="39" spans="1:93" ht="18">
      <c r="B39" s="1032" t="s">
        <v>670</v>
      </c>
      <c r="F39" s="1032" t="s">
        <v>795</v>
      </c>
      <c r="H39" s="1032"/>
      <c r="I39" s="1032"/>
      <c r="J39" s="1032"/>
      <c r="K39" s="1032"/>
      <c r="L39" s="1032" t="s">
        <v>796</v>
      </c>
      <c r="M39" s="1032"/>
      <c r="N39" s="1032"/>
      <c r="O39" s="1032" t="s">
        <v>749</v>
      </c>
      <c r="P39" s="1032"/>
      <c r="Q39" s="1032"/>
      <c r="R39" s="1032"/>
      <c r="S39" s="1032"/>
      <c r="AY39" s="1033"/>
      <c r="AZ39" s="1033"/>
      <c r="BA39" s="1033"/>
      <c r="BB39" s="1033"/>
      <c r="BC39" s="1033"/>
      <c r="BD39" s="1033"/>
      <c r="BE39" s="1033"/>
      <c r="BF39" s="1033"/>
      <c r="BG39" s="1033"/>
      <c r="BH39" s="1033"/>
      <c r="BI39" s="1033"/>
      <c r="BJ39" s="1033"/>
      <c r="BK39" s="1033"/>
      <c r="BL39" s="1033"/>
      <c r="BM39" s="1033"/>
      <c r="BN39" s="1033"/>
      <c r="BO39" s="1033"/>
      <c r="BP39" s="1033"/>
      <c r="BQ39" s="1033"/>
      <c r="BR39" s="1033"/>
      <c r="BS39" s="1033"/>
      <c r="BT39" s="1033"/>
      <c r="BU39" s="1033"/>
      <c r="BV39" s="1033"/>
      <c r="BW39" s="1033"/>
      <c r="BX39" s="1033"/>
      <c r="BY39" s="1033"/>
      <c r="BZ39" s="1034"/>
      <c r="CA39" s="1033"/>
      <c r="CB39" s="1033"/>
      <c r="CC39" s="1035"/>
      <c r="CD39" s="1035"/>
      <c r="CE39" s="1034"/>
      <c r="CF39" s="1034"/>
      <c r="CG39" s="1033"/>
    </row>
    <row r="40" spans="1:93" ht="18">
      <c r="G40" s="456">
        <v>77728</v>
      </c>
      <c r="AY40" s="1033"/>
      <c r="AZ40" s="1033"/>
      <c r="BA40" s="1033"/>
      <c r="BB40" s="1033"/>
      <c r="BC40" s="1033"/>
      <c r="BD40" s="1033"/>
      <c r="BE40" s="1033"/>
      <c r="BF40" s="1033"/>
      <c r="BG40" s="1033"/>
      <c r="BH40" s="1033"/>
      <c r="BI40" s="1033"/>
      <c r="BJ40" s="1033"/>
      <c r="BK40" s="1033"/>
      <c r="BL40" s="1033"/>
      <c r="BM40" s="1033"/>
      <c r="BN40" s="1033"/>
      <c r="BO40" s="1033"/>
      <c r="BP40" s="1033"/>
      <c r="BQ40" s="1033"/>
      <c r="BR40" s="1033"/>
      <c r="BS40" s="1033"/>
      <c r="BT40" s="1033"/>
      <c r="BU40" s="1033"/>
      <c r="BV40" s="1033"/>
      <c r="BW40" s="1033"/>
      <c r="BX40" s="1033"/>
      <c r="BY40" s="1033"/>
      <c r="BZ40" s="1033"/>
      <c r="CA40" s="1033"/>
      <c r="CB40" s="1033"/>
      <c r="CC40" s="1034"/>
      <c r="CD40" s="1036"/>
      <c r="CE40" s="1033"/>
      <c r="CF40" s="1033"/>
      <c r="CG40" s="1037"/>
      <c r="CK40" s="1005">
        <f>ROUND((CL36-CL36/1.01375),2)</f>
        <v>64928181.539999999</v>
      </c>
      <c r="CL40" s="1005">
        <f>CK36/CE36*100</f>
        <v>5.3555441684456593</v>
      </c>
      <c r="CN40" s="1032">
        <f>CN38-CD36</f>
        <v>-12604341.789999008</v>
      </c>
    </row>
    <row r="41" spans="1:93">
      <c r="G41" s="456">
        <f>G38-G40</f>
        <v>2387</v>
      </c>
      <c r="AY41" s="1033"/>
      <c r="AZ41" s="1033"/>
      <c r="BA41" s="1033"/>
      <c r="BB41" s="1033"/>
      <c r="BC41" s="1033"/>
      <c r="BD41" s="1033"/>
      <c r="BE41" s="1033"/>
      <c r="BF41" s="1033"/>
      <c r="BG41" s="1033"/>
      <c r="BH41" s="1033"/>
      <c r="BI41" s="1033"/>
      <c r="BJ41" s="1033"/>
      <c r="BK41" s="1033"/>
      <c r="BL41" s="1033"/>
      <c r="BM41" s="1033"/>
      <c r="BN41" s="1033"/>
      <c r="BO41" s="1033"/>
      <c r="BP41" s="1033"/>
      <c r="BQ41" s="1033"/>
      <c r="BR41" s="1033"/>
      <c r="BS41" s="1033"/>
      <c r="BT41" s="1033"/>
      <c r="BU41" s="1033"/>
      <c r="BV41" s="1033"/>
      <c r="BW41" s="1033"/>
      <c r="BX41" s="1033"/>
      <c r="BY41" s="1033"/>
      <c r="BZ41" s="1033"/>
      <c r="CA41" s="1033"/>
      <c r="CB41" s="1038"/>
      <c r="CC41" s="1039"/>
      <c r="CD41" s="1036"/>
      <c r="CE41" s="1033"/>
      <c r="CF41" s="1033"/>
      <c r="CG41" s="1191"/>
    </row>
    <row r="42" spans="1:93" ht="15.75">
      <c r="AY42" s="1033"/>
      <c r="AZ42" s="1033"/>
      <c r="BA42" s="1033"/>
      <c r="BB42" s="1033"/>
      <c r="BC42" s="1033"/>
      <c r="BD42" s="1033"/>
      <c r="BE42" s="1033"/>
      <c r="BF42" s="1033"/>
      <c r="BG42" s="1033"/>
      <c r="BH42" s="1033"/>
      <c r="BI42" s="1033"/>
      <c r="BJ42" s="1033"/>
      <c r="BK42" s="1033"/>
      <c r="BL42" s="1033"/>
      <c r="BM42" s="1033"/>
      <c r="BN42" s="1033"/>
      <c r="BO42" s="1033"/>
      <c r="BP42" s="1033"/>
      <c r="BQ42" s="1033"/>
      <c r="BR42" s="1033"/>
      <c r="BS42" s="1033"/>
      <c r="BT42" s="1033"/>
      <c r="BU42" s="1033"/>
      <c r="BV42" s="1033"/>
      <c r="BW42" s="1033"/>
      <c r="BX42" s="1033"/>
      <c r="BY42" s="1033"/>
      <c r="BZ42" s="1033"/>
      <c r="CA42" s="1033"/>
      <c r="CB42" s="1033"/>
      <c r="CC42" s="1035"/>
      <c r="CD42" s="1009"/>
      <c r="CE42" s="1185" t="s">
        <v>819</v>
      </c>
      <c r="CF42" s="1185" t="s">
        <v>818</v>
      </c>
      <c r="CG42" s="1192" t="s">
        <v>83</v>
      </c>
    </row>
    <row r="43" spans="1:93" ht="15.75">
      <c r="AY43" s="1033"/>
      <c r="AZ43" s="1033"/>
      <c r="BA43" s="1033"/>
      <c r="BB43" s="1033"/>
      <c r="BC43" s="1033"/>
      <c r="BD43" s="1033"/>
      <c r="BE43" s="1033"/>
      <c r="BF43" s="1033"/>
      <c r="BG43" s="1033"/>
      <c r="BH43" s="1033"/>
      <c r="BI43" s="1033"/>
      <c r="BJ43" s="1033"/>
      <c r="BK43" s="1033"/>
      <c r="BL43" s="1033"/>
      <c r="BM43" s="1033"/>
      <c r="BN43" s="1033"/>
      <c r="BO43" s="1033"/>
      <c r="BP43" s="1033"/>
      <c r="BQ43" s="1033"/>
      <c r="BR43" s="1033"/>
      <c r="BS43" s="1033"/>
      <c r="BT43" s="1033"/>
      <c r="BU43" s="1033"/>
      <c r="BV43" s="1033"/>
      <c r="BW43" s="1033"/>
      <c r="BX43" s="1033"/>
      <c r="BY43" s="1033"/>
      <c r="BZ43" s="1033"/>
      <c r="CA43" s="1033"/>
      <c r="CB43" s="1033"/>
      <c r="CC43" s="1035"/>
      <c r="CD43" s="1009"/>
      <c r="CE43" s="1015">
        <f>CE36</f>
        <v>5057853316.1199989</v>
      </c>
      <c r="CF43" s="1186">
        <v>5058073000.9700003</v>
      </c>
      <c r="CG43" s="1192">
        <f>CE43-CF43</f>
        <v>-219684.85000133514</v>
      </c>
    </row>
    <row r="44" spans="1:93" ht="15.75">
      <c r="AY44" s="1033"/>
      <c r="AZ44" s="1033"/>
      <c r="BA44" s="1033"/>
      <c r="BB44" s="1033"/>
      <c r="BC44" s="1033"/>
      <c r="BD44" s="1033"/>
      <c r="BE44" s="1033"/>
      <c r="BF44" s="1033"/>
      <c r="BG44" s="1033"/>
      <c r="BH44" s="1033"/>
      <c r="BI44" s="1033"/>
      <c r="BJ44" s="1033"/>
      <c r="BK44" s="1033"/>
      <c r="BL44" s="1033"/>
      <c r="BM44" s="1033"/>
      <c r="BN44" s="1033"/>
      <c r="BO44" s="1033"/>
      <c r="BP44" s="1033"/>
      <c r="BQ44" s="1033"/>
      <c r="BR44" s="1033"/>
      <c r="BS44" s="1033"/>
      <c r="BT44" s="1033"/>
      <c r="BU44" s="1033"/>
      <c r="BV44" s="1033"/>
      <c r="BW44" s="1033"/>
      <c r="BX44" s="1033"/>
      <c r="BY44" s="1033"/>
      <c r="BZ44" s="1033"/>
      <c r="CA44" s="1033"/>
      <c r="CB44" s="1033"/>
      <c r="CC44" s="1040"/>
      <c r="CD44" s="1009"/>
      <c r="CE44" s="1009"/>
      <c r="CF44" s="1185"/>
      <c r="CG44" s="1192">
        <f>CE44-CF44</f>
        <v>0</v>
      </c>
    </row>
    <row r="45" spans="1:93" ht="15.75">
      <c r="AY45" s="1033"/>
      <c r="AZ45" s="1033"/>
      <c r="BA45" s="1033"/>
      <c r="BB45" s="1033"/>
      <c r="BC45" s="1033"/>
      <c r="BD45" s="1033"/>
      <c r="BE45" s="1033"/>
      <c r="BF45" s="1033"/>
      <c r="BG45" s="1033"/>
      <c r="BH45" s="1033"/>
      <c r="BI45" s="1033"/>
      <c r="BJ45" s="1033"/>
      <c r="BK45" s="1033"/>
      <c r="BL45" s="1033"/>
      <c r="BM45" s="1033"/>
      <c r="BN45" s="1033"/>
      <c r="BO45" s="1033"/>
      <c r="BP45" s="1033"/>
      <c r="BQ45" s="1033"/>
      <c r="BR45" s="1033"/>
      <c r="BS45" s="1033"/>
      <c r="BT45" s="1033"/>
      <c r="BU45" s="1033"/>
      <c r="BV45" s="1033"/>
      <c r="BW45" s="1033"/>
      <c r="BX45" s="1033"/>
      <c r="BY45" s="1033"/>
      <c r="BZ45" s="1033"/>
      <c r="CA45" s="1033"/>
      <c r="CB45" s="1033"/>
      <c r="CC45" s="1034"/>
      <c r="CD45" s="1026" t="s">
        <v>820</v>
      </c>
      <c r="CE45" s="1187">
        <f>'[2]21.2.1'!$E$8</f>
        <v>20697833.600000001</v>
      </c>
      <c r="CF45" s="1188">
        <v>20478148.75</v>
      </c>
      <c r="CG45" s="1192">
        <f>CE45-CF45</f>
        <v>219684.85000000149</v>
      </c>
    </row>
    <row r="46" spans="1:93" ht="15.75">
      <c r="AY46" s="1033"/>
      <c r="AZ46" s="1033"/>
      <c r="BA46" s="1033"/>
      <c r="BB46" s="1033"/>
      <c r="BC46" s="1033"/>
      <c r="BD46" s="1033"/>
      <c r="BE46" s="1033"/>
      <c r="BF46" s="1033"/>
      <c r="BG46" s="1033"/>
      <c r="BH46" s="1033"/>
      <c r="BI46" s="1033"/>
      <c r="BJ46" s="1033"/>
      <c r="BK46" s="1033"/>
      <c r="BL46" s="1033"/>
      <c r="BM46" s="1033"/>
      <c r="BN46" s="1033"/>
      <c r="BO46" s="1033"/>
      <c r="BP46" s="1033"/>
      <c r="BQ46" s="1033"/>
      <c r="BR46" s="1033"/>
      <c r="BS46" s="1033"/>
      <c r="BT46" s="1033"/>
      <c r="BU46" s="1033"/>
      <c r="BV46" s="1033"/>
      <c r="BW46" s="1033"/>
      <c r="BX46" s="1033"/>
      <c r="BY46" s="1033"/>
      <c r="BZ46" s="1033"/>
      <c r="CA46" s="1033"/>
      <c r="CB46" s="1033"/>
      <c r="CC46" s="1033"/>
      <c r="CD46" s="1004"/>
      <c r="CE46" s="1185"/>
      <c r="CF46" s="1185"/>
      <c r="CG46" s="1004"/>
    </row>
    <row r="47" spans="1:93" ht="15.75">
      <c r="CC47" s="1041"/>
      <c r="CD47" s="1189" t="s">
        <v>116</v>
      </c>
      <c r="CE47" s="1190">
        <f>CE45+CE43</f>
        <v>5078551149.7199993</v>
      </c>
      <c r="CF47" s="1190">
        <f>CF45+CF43</f>
        <v>5078551149.7200003</v>
      </c>
      <c r="CG47" s="1192">
        <f>CE47-CF47</f>
        <v>0</v>
      </c>
    </row>
    <row r="48" spans="1:93">
      <c r="B48" s="1043" t="s">
        <v>797</v>
      </c>
      <c r="F48" s="1043">
        <f>G48/H48</f>
        <v>32806.317322199066</v>
      </c>
      <c r="G48" s="456">
        <f>H36*I36+O36*P36+V36*W36+AC36*AD36+AH36*AI36+AO36*AP36+BA36*BB36+BH36*BI36+BN36*BO36+BU36*BV36</f>
        <v>1117678424.8499999</v>
      </c>
      <c r="H48" s="456">
        <f>I36+P36+W36+AD36+AI36+AP36+BB36+BI36+BO36+BV36</f>
        <v>34069</v>
      </c>
      <c r="CC48" s="1042"/>
      <c r="CD48" s="1042"/>
      <c r="CE48" s="1042"/>
      <c r="CF48" s="1042"/>
      <c r="CG48" s="1042">
        <v>233063.28</v>
      </c>
      <c r="CH48" s="1195" t="s">
        <v>824</v>
      </c>
    </row>
    <row r="49" spans="2:85">
      <c r="CC49" s="1042"/>
      <c r="CD49" s="1042"/>
      <c r="CE49" s="1042"/>
      <c r="CF49" s="1042"/>
      <c r="CG49" s="1042"/>
    </row>
    <row r="50" spans="2:85">
      <c r="B50" s="1043" t="s">
        <v>798</v>
      </c>
      <c r="F50" s="1043">
        <f>G50/H50</f>
        <v>41170.0043865404</v>
      </c>
      <c r="G50" s="456">
        <f>J36*K36+Q36*R36+X36*Y36+AE36*AF36+AJ36*AK36+AQ36*AR36+BC36*BD36+BJ36*BK36+BP36*BQ36+BW36*BX36</f>
        <v>1556308505.8200002</v>
      </c>
      <c r="H50" s="456">
        <f>K36+R36+Y36+AF36+AK36+AR36+BD36+BK36+BQ36+BX36</f>
        <v>37802</v>
      </c>
      <c r="CC50" s="1042"/>
      <c r="CD50" s="1042"/>
      <c r="CE50" s="1042"/>
      <c r="CF50" s="1042"/>
      <c r="CG50" s="1042"/>
    </row>
    <row r="51" spans="2:85">
      <c r="CC51" s="1042"/>
      <c r="CD51" s="1042"/>
      <c r="CE51" s="1042"/>
      <c r="CF51" s="1042"/>
      <c r="CG51" s="1042"/>
    </row>
    <row r="52" spans="2:85">
      <c r="CC52" s="1042"/>
      <c r="CD52" s="1042"/>
      <c r="CE52" s="1042"/>
      <c r="CF52" s="1042"/>
      <c r="CG52" s="1042"/>
    </row>
    <row r="53" spans="2:85">
      <c r="B53" s="1043" t="s">
        <v>799</v>
      </c>
      <c r="F53" s="1043">
        <f>G53/H53</f>
        <v>38443.862210345746</v>
      </c>
      <c r="G53" s="456">
        <f>T36*S36+M36*L36+Z36*AA36+AL36*AM36+AS36*AT36+BE36*BF36+BR36*BS36+BY36*BZ36</f>
        <v>291327587.83000004</v>
      </c>
      <c r="H53" s="456">
        <f>M36+T36+AA36+AM36+AT36+BF36+BS36+BZ36</f>
        <v>7578</v>
      </c>
      <c r="CC53" s="1042"/>
      <c r="CD53" s="1042"/>
      <c r="CE53" s="1042"/>
      <c r="CF53" s="1042"/>
      <c r="CG53" s="1042"/>
    </row>
    <row r="54" spans="2:85">
      <c r="CC54" s="1042"/>
      <c r="CD54" s="1042"/>
      <c r="CE54" s="1042"/>
      <c r="CF54" s="1042"/>
      <c r="CG54" s="1042"/>
    </row>
  </sheetData>
  <mergeCells count="74">
    <mergeCell ref="A1:U1"/>
    <mergeCell ref="BT4:BT5"/>
    <mergeCell ref="BU4:BV4"/>
    <mergeCell ref="BW4:BX4"/>
    <mergeCell ref="AJ4:AK4"/>
    <mergeCell ref="BH4:BI4"/>
    <mergeCell ref="AN4:AN5"/>
    <mergeCell ref="AO4:AP4"/>
    <mergeCell ref="AQ4:AR4"/>
    <mergeCell ref="AS4:AT4"/>
    <mergeCell ref="AU4:AU5"/>
    <mergeCell ref="AV4:AW4"/>
    <mergeCell ref="AX4:AX5"/>
    <mergeCell ref="BA4:BB4"/>
    <mergeCell ref="BC4:BD4"/>
    <mergeCell ref="BE4:BF4"/>
    <mergeCell ref="U4:U5"/>
    <mergeCell ref="V4:W4"/>
    <mergeCell ref="X4:Y4"/>
    <mergeCell ref="Z4:AA4"/>
    <mergeCell ref="BG4:BG5"/>
    <mergeCell ref="AB4:AB5"/>
    <mergeCell ref="AC4:AD4"/>
    <mergeCell ref="AE4:AF4"/>
    <mergeCell ref="AG4:AG5"/>
    <mergeCell ref="AH4:AI4"/>
    <mergeCell ref="CK2:CK5"/>
    <mergeCell ref="CL2:CL5"/>
    <mergeCell ref="H3:N3"/>
    <mergeCell ref="O3:U3"/>
    <mergeCell ref="V3:AB3"/>
    <mergeCell ref="AC3:AG3"/>
    <mergeCell ref="AH3:AN3"/>
    <mergeCell ref="AO3:AU3"/>
    <mergeCell ref="AV3:AX3"/>
    <mergeCell ref="BA3:BG3"/>
    <mergeCell ref="CD2:CD5"/>
    <mergeCell ref="CE2:CE5"/>
    <mergeCell ref="CF2:CF5"/>
    <mergeCell ref="CG2:CG5"/>
    <mergeCell ref="CI2:CI5"/>
    <mergeCell ref="H4:I4"/>
    <mergeCell ref="CJ2:CJ5"/>
    <mergeCell ref="AZ2:AZ5"/>
    <mergeCell ref="BA2:BM2"/>
    <mergeCell ref="BN2:BT3"/>
    <mergeCell ref="BU2:CA3"/>
    <mergeCell ref="CB2:CB5"/>
    <mergeCell ref="CC2:CC5"/>
    <mergeCell ref="BH3:BL3"/>
    <mergeCell ref="BM3:BM5"/>
    <mergeCell ref="BJ4:BK4"/>
    <mergeCell ref="BL4:BL5"/>
    <mergeCell ref="BY4:BZ4"/>
    <mergeCell ref="CA4:CA5"/>
    <mergeCell ref="BN4:BO4"/>
    <mergeCell ref="BP4:BQ4"/>
    <mergeCell ref="BR4:BS4"/>
    <mergeCell ref="AZ1:BT1"/>
    <mergeCell ref="A2:A5"/>
    <mergeCell ref="B2:B5"/>
    <mergeCell ref="D2:D5"/>
    <mergeCell ref="E2:E5"/>
    <mergeCell ref="F2:F5"/>
    <mergeCell ref="G2:G5"/>
    <mergeCell ref="H2:AX2"/>
    <mergeCell ref="AY2:AY5"/>
    <mergeCell ref="Q4:R4"/>
    <mergeCell ref="J4:K4"/>
    <mergeCell ref="L4:M4"/>
    <mergeCell ref="N4:N5"/>
    <mergeCell ref="O4:P4"/>
    <mergeCell ref="AL4:AM4"/>
    <mergeCell ref="S4:T4"/>
  </mergeCells>
  <pageMargins left="0" right="0" top="0" bottom="0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6"/>
  <sheetViews>
    <sheetView zoomScale="83" zoomScaleNormal="83" workbookViewId="0">
      <pane xSplit="3" ySplit="6" topLeftCell="BT271" activePane="bottomRight" state="frozen"/>
      <selection pane="topRight" activeCell="D1" sqref="D1"/>
      <selection pane="bottomLeft" activeCell="A7" sqref="A7"/>
      <selection pane="bottomRight" activeCell="CA283" sqref="CA283"/>
    </sheetView>
  </sheetViews>
  <sheetFormatPr defaultColWidth="12.42578125" defaultRowHeight="11.25"/>
  <cols>
    <col min="1" max="1" width="12.42578125" style="133"/>
    <col min="2" max="2" width="32.28515625" style="133" customWidth="1"/>
    <col min="3" max="3" width="12.42578125" style="133"/>
    <col min="4" max="4" width="12.42578125" style="134"/>
    <col min="5" max="5" width="12.42578125" style="133"/>
    <col min="6" max="6" width="12.42578125" style="134"/>
    <col min="7" max="9" width="12.42578125" style="133"/>
    <col min="10" max="10" width="18.7109375" style="133" customWidth="1"/>
    <col min="11" max="16" width="12.42578125" style="133"/>
    <col min="17" max="17" width="15.5703125" style="133" customWidth="1"/>
    <col min="18" max="23" width="12.42578125" style="133"/>
    <col min="24" max="24" width="15" style="133" customWidth="1"/>
    <col min="25" max="35" width="12.42578125" style="133"/>
    <col min="36" max="36" width="14.28515625" style="133" customWidth="1"/>
    <col min="37" max="42" width="12.42578125" style="133"/>
    <col min="43" max="43" width="17.28515625" style="133" customWidth="1"/>
    <col min="44" max="45" width="12.42578125" style="133"/>
    <col min="46" max="46" width="14.7109375" style="133" customWidth="1"/>
    <col min="47" max="47" width="20.5703125" style="1060" customWidth="1"/>
    <col min="48" max="48" width="20.42578125" style="133" customWidth="1"/>
    <col min="49" max="54" width="12.42578125" style="133"/>
    <col min="55" max="55" width="15.7109375" style="133" customWidth="1"/>
    <col min="56" max="59" width="12.42578125" style="133"/>
    <col min="60" max="60" width="15.28515625" style="133" customWidth="1"/>
    <col min="61" max="61" width="16.7109375" style="133" customWidth="1"/>
    <col min="62" max="74" width="12.42578125" style="133"/>
    <col min="75" max="75" width="15.7109375" style="133" customWidth="1"/>
    <col min="76" max="76" width="16.28515625" style="133" customWidth="1"/>
    <col min="77" max="77" width="20.7109375" style="129" customWidth="1"/>
    <col min="78" max="16384" width="12.42578125" style="129"/>
  </cols>
  <sheetData>
    <row r="1" spans="1:78" s="81" customFormat="1" ht="38.450000000000003" customHeight="1" thickBot="1">
      <c r="D1" s="1648" t="s">
        <v>677</v>
      </c>
      <c r="E1" s="1648"/>
      <c r="F1" s="1648"/>
      <c r="G1" s="1648"/>
      <c r="H1" s="1648"/>
      <c r="I1" s="1648"/>
      <c r="J1" s="1648"/>
      <c r="K1" s="1648"/>
      <c r="L1" s="1648"/>
      <c r="M1" s="1648"/>
      <c r="N1" s="1648"/>
      <c r="O1" s="1648"/>
      <c r="P1" s="1648"/>
      <c r="Q1" s="1648"/>
      <c r="R1" s="1648"/>
      <c r="S1" s="543"/>
      <c r="T1" s="543"/>
      <c r="U1" s="543"/>
      <c r="V1" s="82"/>
      <c r="W1" s="82"/>
      <c r="X1" s="82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960">
        <f>AU241+AU242-AV241</f>
        <v>24249737.07</v>
      </c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</row>
    <row r="2" spans="1:78" s="84" customFormat="1" ht="18.75">
      <c r="A2" s="1582" t="s">
        <v>319</v>
      </c>
      <c r="B2" s="1584" t="s">
        <v>320</v>
      </c>
      <c r="C2" s="1586" t="s">
        <v>321</v>
      </c>
      <c r="D2" s="1589" t="s">
        <v>322</v>
      </c>
      <c r="E2" s="1590"/>
      <c r="F2" s="1590"/>
      <c r="G2" s="1590"/>
      <c r="H2" s="1590"/>
      <c r="I2" s="1590"/>
      <c r="J2" s="1590"/>
      <c r="K2" s="1590"/>
      <c r="L2" s="1590"/>
      <c r="M2" s="1590"/>
      <c r="N2" s="1590"/>
      <c r="O2" s="1590"/>
      <c r="P2" s="1590"/>
      <c r="Q2" s="1590"/>
      <c r="R2" s="1590"/>
      <c r="S2" s="1590"/>
      <c r="T2" s="1590"/>
      <c r="U2" s="1590"/>
      <c r="V2" s="1590"/>
      <c r="W2" s="1590"/>
      <c r="X2" s="1590"/>
      <c r="Y2" s="1590"/>
      <c r="Z2" s="1590"/>
      <c r="AA2" s="1590"/>
      <c r="AB2" s="1590"/>
      <c r="AC2" s="1590"/>
      <c r="AD2" s="1590"/>
      <c r="AE2" s="1590"/>
      <c r="AF2" s="1590"/>
      <c r="AG2" s="1590"/>
      <c r="AH2" s="1590"/>
      <c r="AI2" s="1590"/>
      <c r="AJ2" s="1590"/>
      <c r="AK2" s="1590"/>
      <c r="AL2" s="1590"/>
      <c r="AM2" s="1590"/>
      <c r="AN2" s="1590"/>
      <c r="AO2" s="1590"/>
      <c r="AP2" s="1590"/>
      <c r="AQ2" s="1590"/>
      <c r="AR2" s="1590"/>
      <c r="AS2" s="1590"/>
      <c r="AT2" s="1591"/>
      <c r="AU2" s="1592" t="s">
        <v>323</v>
      </c>
      <c r="AV2" s="1603" t="s">
        <v>324</v>
      </c>
      <c r="AW2" s="1606" t="s">
        <v>325</v>
      </c>
      <c r="AX2" s="1607"/>
      <c r="AY2" s="1607"/>
      <c r="AZ2" s="1607"/>
      <c r="BA2" s="1607"/>
      <c r="BB2" s="1607"/>
      <c r="BC2" s="1607"/>
      <c r="BD2" s="1607"/>
      <c r="BE2" s="1607"/>
      <c r="BF2" s="1607"/>
      <c r="BG2" s="1607"/>
      <c r="BH2" s="1607"/>
      <c r="BI2" s="1608"/>
      <c r="BJ2" s="1609" t="s">
        <v>326</v>
      </c>
      <c r="BK2" s="1610"/>
      <c r="BL2" s="1610"/>
      <c r="BM2" s="1610"/>
      <c r="BN2" s="1610"/>
      <c r="BO2" s="1610"/>
      <c r="BP2" s="1611"/>
      <c r="BQ2" s="1609" t="s">
        <v>327</v>
      </c>
      <c r="BR2" s="1615"/>
      <c r="BS2" s="1615"/>
      <c r="BT2" s="1615"/>
      <c r="BU2" s="1615"/>
      <c r="BV2" s="1615"/>
      <c r="BW2" s="1616"/>
      <c r="BX2" s="1620" t="s">
        <v>328</v>
      </c>
      <c r="BY2" s="1623" t="s">
        <v>402</v>
      </c>
      <c r="BZ2" s="1594"/>
    </row>
    <row r="3" spans="1:78" s="85" customFormat="1" ht="18.75">
      <c r="A3" s="1583"/>
      <c r="B3" s="1585"/>
      <c r="C3" s="1587"/>
      <c r="D3" s="1597" t="s">
        <v>329</v>
      </c>
      <c r="E3" s="1598"/>
      <c r="F3" s="1598"/>
      <c r="G3" s="1598"/>
      <c r="H3" s="1598"/>
      <c r="I3" s="1598"/>
      <c r="J3" s="1599"/>
      <c r="K3" s="1597" t="s">
        <v>330</v>
      </c>
      <c r="L3" s="1598"/>
      <c r="M3" s="1598"/>
      <c r="N3" s="1598"/>
      <c r="O3" s="1598"/>
      <c r="P3" s="1598"/>
      <c r="Q3" s="1599"/>
      <c r="R3" s="1597" t="s">
        <v>331</v>
      </c>
      <c r="S3" s="1598"/>
      <c r="T3" s="1598"/>
      <c r="U3" s="1598"/>
      <c r="V3" s="1598"/>
      <c r="W3" s="1598"/>
      <c r="X3" s="1599"/>
      <c r="Y3" s="1597" t="s">
        <v>332</v>
      </c>
      <c r="Z3" s="1598"/>
      <c r="AA3" s="1598"/>
      <c r="AB3" s="1598"/>
      <c r="AC3" s="1599"/>
      <c r="AD3" s="1597" t="s">
        <v>333</v>
      </c>
      <c r="AE3" s="1598"/>
      <c r="AF3" s="1598"/>
      <c r="AG3" s="1598"/>
      <c r="AH3" s="1598"/>
      <c r="AI3" s="1598"/>
      <c r="AJ3" s="1599"/>
      <c r="AK3" s="1600" t="s">
        <v>334</v>
      </c>
      <c r="AL3" s="1601"/>
      <c r="AM3" s="1601"/>
      <c r="AN3" s="1601"/>
      <c r="AO3" s="1601"/>
      <c r="AP3" s="1601"/>
      <c r="AQ3" s="1602"/>
      <c r="AR3" s="1600" t="s">
        <v>335</v>
      </c>
      <c r="AS3" s="1601"/>
      <c r="AT3" s="1602"/>
      <c r="AU3" s="1593"/>
      <c r="AV3" s="1604"/>
      <c r="AW3" s="1600" t="s">
        <v>336</v>
      </c>
      <c r="AX3" s="1601"/>
      <c r="AY3" s="1601"/>
      <c r="AZ3" s="1601"/>
      <c r="BA3" s="1601"/>
      <c r="BB3" s="1601"/>
      <c r="BC3" s="1602"/>
      <c r="BD3" s="1600" t="s">
        <v>337</v>
      </c>
      <c r="BE3" s="1601"/>
      <c r="BF3" s="1601"/>
      <c r="BG3" s="1601"/>
      <c r="BH3" s="1601"/>
      <c r="BI3" s="1575" t="s">
        <v>338</v>
      </c>
      <c r="BJ3" s="1612"/>
      <c r="BK3" s="1613"/>
      <c r="BL3" s="1613"/>
      <c r="BM3" s="1613"/>
      <c r="BN3" s="1613"/>
      <c r="BO3" s="1613"/>
      <c r="BP3" s="1614"/>
      <c r="BQ3" s="1617"/>
      <c r="BR3" s="1618"/>
      <c r="BS3" s="1618"/>
      <c r="BT3" s="1618"/>
      <c r="BU3" s="1618"/>
      <c r="BV3" s="1618"/>
      <c r="BW3" s="1619"/>
      <c r="BX3" s="1621"/>
      <c r="BY3" s="1624"/>
      <c r="BZ3" s="1595"/>
    </row>
    <row r="4" spans="1:78" s="86" customFormat="1" ht="18.75">
      <c r="A4" s="1583"/>
      <c r="B4" s="1585"/>
      <c r="C4" s="1587"/>
      <c r="D4" s="1580" t="s">
        <v>339</v>
      </c>
      <c r="E4" s="1581"/>
      <c r="F4" s="1580" t="s">
        <v>340</v>
      </c>
      <c r="G4" s="1581"/>
      <c r="H4" s="1580" t="s">
        <v>341</v>
      </c>
      <c r="I4" s="1581"/>
      <c r="J4" s="1578" t="s">
        <v>342</v>
      </c>
      <c r="K4" s="1580" t="s">
        <v>339</v>
      </c>
      <c r="L4" s="1581"/>
      <c r="M4" s="1580" t="s">
        <v>340</v>
      </c>
      <c r="N4" s="1581"/>
      <c r="O4" s="1580" t="s">
        <v>341</v>
      </c>
      <c r="P4" s="1581"/>
      <c r="Q4" s="1625" t="s">
        <v>343</v>
      </c>
      <c r="R4" s="1580" t="s">
        <v>339</v>
      </c>
      <c r="S4" s="1581"/>
      <c r="T4" s="1580" t="s">
        <v>340</v>
      </c>
      <c r="U4" s="1581"/>
      <c r="V4" s="1580" t="s">
        <v>341</v>
      </c>
      <c r="W4" s="1581"/>
      <c r="X4" s="1575" t="s">
        <v>344</v>
      </c>
      <c r="Y4" s="1580" t="s">
        <v>339</v>
      </c>
      <c r="Z4" s="1581"/>
      <c r="AA4" s="1580" t="s">
        <v>340</v>
      </c>
      <c r="AB4" s="1581"/>
      <c r="AC4" s="1578" t="s">
        <v>345</v>
      </c>
      <c r="AD4" s="1580" t="s">
        <v>339</v>
      </c>
      <c r="AE4" s="1581"/>
      <c r="AF4" s="1580" t="s">
        <v>340</v>
      </c>
      <c r="AG4" s="1581"/>
      <c r="AH4" s="1580" t="s">
        <v>341</v>
      </c>
      <c r="AI4" s="1581"/>
      <c r="AJ4" s="1628" t="s">
        <v>346</v>
      </c>
      <c r="AK4" s="1629" t="s">
        <v>339</v>
      </c>
      <c r="AL4" s="1630"/>
      <c r="AM4" s="1629" t="s">
        <v>340</v>
      </c>
      <c r="AN4" s="1630"/>
      <c r="AO4" s="1629" t="s">
        <v>341</v>
      </c>
      <c r="AP4" s="1630"/>
      <c r="AQ4" s="1578" t="s">
        <v>347</v>
      </c>
      <c r="AR4" s="1639" t="s">
        <v>348</v>
      </c>
      <c r="AS4" s="1640"/>
      <c r="AT4" s="1575" t="s">
        <v>349</v>
      </c>
      <c r="AU4" s="1593"/>
      <c r="AV4" s="1604"/>
      <c r="AW4" s="1580" t="s">
        <v>339</v>
      </c>
      <c r="AX4" s="1581"/>
      <c r="AY4" s="1580" t="s">
        <v>340</v>
      </c>
      <c r="AZ4" s="1581"/>
      <c r="BA4" s="1580" t="s">
        <v>341</v>
      </c>
      <c r="BB4" s="1581"/>
      <c r="BC4" s="1578" t="s">
        <v>350</v>
      </c>
      <c r="BD4" s="1580" t="s">
        <v>339</v>
      </c>
      <c r="BE4" s="1581"/>
      <c r="BF4" s="1580" t="s">
        <v>340</v>
      </c>
      <c r="BG4" s="1581"/>
      <c r="BH4" s="1578" t="s">
        <v>351</v>
      </c>
      <c r="BI4" s="1576"/>
      <c r="BJ4" s="1580" t="s">
        <v>339</v>
      </c>
      <c r="BK4" s="1581"/>
      <c r="BL4" s="1580" t="s">
        <v>340</v>
      </c>
      <c r="BM4" s="1581"/>
      <c r="BN4" s="1580" t="s">
        <v>341</v>
      </c>
      <c r="BO4" s="1581"/>
      <c r="BP4" s="1625" t="s">
        <v>352</v>
      </c>
      <c r="BQ4" s="1580" t="s">
        <v>339</v>
      </c>
      <c r="BR4" s="1581"/>
      <c r="BS4" s="1580" t="s">
        <v>340</v>
      </c>
      <c r="BT4" s="1581"/>
      <c r="BU4" s="1580" t="s">
        <v>341</v>
      </c>
      <c r="BV4" s="1581"/>
      <c r="BW4" s="1625" t="s">
        <v>353</v>
      </c>
      <c r="BX4" s="1621"/>
      <c r="BY4" s="1624"/>
      <c r="BZ4" s="1595"/>
    </row>
    <row r="5" spans="1:78" s="86" customFormat="1" ht="98.25">
      <c r="A5" s="1583"/>
      <c r="B5" s="1585"/>
      <c r="C5" s="1588"/>
      <c r="D5" s="87" t="s">
        <v>354</v>
      </c>
      <c r="E5" s="88" t="s">
        <v>355</v>
      </c>
      <c r="F5" s="87" t="s">
        <v>354</v>
      </c>
      <c r="G5" s="88" t="s">
        <v>355</v>
      </c>
      <c r="H5" s="87" t="s">
        <v>354</v>
      </c>
      <c r="I5" s="88" t="s">
        <v>355</v>
      </c>
      <c r="J5" s="1579"/>
      <c r="K5" s="89" t="s">
        <v>356</v>
      </c>
      <c r="L5" s="88" t="s">
        <v>357</v>
      </c>
      <c r="M5" s="89" t="s">
        <v>356</v>
      </c>
      <c r="N5" s="88" t="s">
        <v>357</v>
      </c>
      <c r="O5" s="89" t="s">
        <v>356</v>
      </c>
      <c r="P5" s="88" t="s">
        <v>357</v>
      </c>
      <c r="Q5" s="1626"/>
      <c r="R5" s="89" t="s">
        <v>358</v>
      </c>
      <c r="S5" s="88" t="s">
        <v>359</v>
      </c>
      <c r="T5" s="89" t="s">
        <v>358</v>
      </c>
      <c r="U5" s="88" t="s">
        <v>359</v>
      </c>
      <c r="V5" s="89" t="s">
        <v>358</v>
      </c>
      <c r="W5" s="88" t="s">
        <v>359</v>
      </c>
      <c r="X5" s="1627"/>
      <c r="Y5" s="89" t="s">
        <v>360</v>
      </c>
      <c r="Z5" s="88" t="s">
        <v>361</v>
      </c>
      <c r="AA5" s="89" t="s">
        <v>360</v>
      </c>
      <c r="AB5" s="88" t="s">
        <v>361</v>
      </c>
      <c r="AC5" s="1579"/>
      <c r="AD5" s="89" t="s">
        <v>362</v>
      </c>
      <c r="AE5" s="88" t="s">
        <v>363</v>
      </c>
      <c r="AF5" s="89" t="s">
        <v>362</v>
      </c>
      <c r="AG5" s="88" t="s">
        <v>363</v>
      </c>
      <c r="AH5" s="89" t="s">
        <v>362</v>
      </c>
      <c r="AI5" s="88" t="s">
        <v>363</v>
      </c>
      <c r="AJ5" s="1579"/>
      <c r="AK5" s="89" t="s">
        <v>364</v>
      </c>
      <c r="AL5" s="88" t="s">
        <v>365</v>
      </c>
      <c r="AM5" s="89" t="s">
        <v>364</v>
      </c>
      <c r="AN5" s="88" t="s">
        <v>365</v>
      </c>
      <c r="AO5" s="89" t="s">
        <v>364</v>
      </c>
      <c r="AP5" s="88" t="s">
        <v>365</v>
      </c>
      <c r="AQ5" s="1579"/>
      <c r="AR5" s="542" t="s">
        <v>366</v>
      </c>
      <c r="AS5" s="90" t="s">
        <v>367</v>
      </c>
      <c r="AT5" s="1627"/>
      <c r="AU5" s="1593"/>
      <c r="AV5" s="1605"/>
      <c r="AW5" s="89" t="s">
        <v>368</v>
      </c>
      <c r="AX5" s="88" t="s">
        <v>369</v>
      </c>
      <c r="AY5" s="89" t="s">
        <v>368</v>
      </c>
      <c r="AZ5" s="88" t="s">
        <v>369</v>
      </c>
      <c r="BA5" s="89" t="s">
        <v>368</v>
      </c>
      <c r="BB5" s="88" t="s">
        <v>369</v>
      </c>
      <c r="BC5" s="1579"/>
      <c r="BD5" s="89" t="s">
        <v>370</v>
      </c>
      <c r="BE5" s="88" t="s">
        <v>371</v>
      </c>
      <c r="BF5" s="89" t="s">
        <v>372</v>
      </c>
      <c r="BG5" s="88" t="s">
        <v>371</v>
      </c>
      <c r="BH5" s="1579"/>
      <c r="BI5" s="1577"/>
      <c r="BJ5" s="89" t="s">
        <v>373</v>
      </c>
      <c r="BK5" s="88" t="s">
        <v>374</v>
      </c>
      <c r="BL5" s="89" t="s">
        <v>373</v>
      </c>
      <c r="BM5" s="88" t="s">
        <v>374</v>
      </c>
      <c r="BN5" s="89" t="s">
        <v>373</v>
      </c>
      <c r="BO5" s="88" t="s">
        <v>374</v>
      </c>
      <c r="BP5" s="1638"/>
      <c r="BQ5" s="89" t="s">
        <v>375</v>
      </c>
      <c r="BR5" s="88" t="s">
        <v>376</v>
      </c>
      <c r="BS5" s="89" t="s">
        <v>375</v>
      </c>
      <c r="BT5" s="88" t="s">
        <v>376</v>
      </c>
      <c r="BU5" s="89" t="s">
        <v>375</v>
      </c>
      <c r="BV5" s="88" t="s">
        <v>376</v>
      </c>
      <c r="BW5" s="1626"/>
      <c r="BX5" s="1622"/>
      <c r="BY5" s="1624"/>
      <c r="BZ5" s="1596"/>
    </row>
    <row r="6" spans="1:78" s="94" customFormat="1" ht="22.5">
      <c r="A6" s="91">
        <v>1</v>
      </c>
      <c r="B6" s="92">
        <v>2</v>
      </c>
      <c r="C6" s="92"/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 t="s">
        <v>377</v>
      </c>
      <c r="K6" s="92">
        <v>24</v>
      </c>
      <c r="L6" s="92">
        <v>25</v>
      </c>
      <c r="M6" s="92">
        <v>26</v>
      </c>
      <c r="N6" s="92">
        <v>27</v>
      </c>
      <c r="O6" s="92">
        <v>28</v>
      </c>
      <c r="P6" s="92">
        <v>29</v>
      </c>
      <c r="Q6" s="92" t="s">
        <v>378</v>
      </c>
      <c r="R6" s="92">
        <v>45</v>
      </c>
      <c r="S6" s="92">
        <v>46</v>
      </c>
      <c r="T6" s="92">
        <v>47</v>
      </c>
      <c r="U6" s="92">
        <v>48</v>
      </c>
      <c r="V6" s="92">
        <v>49</v>
      </c>
      <c r="W6" s="92">
        <v>50</v>
      </c>
      <c r="X6" s="92">
        <v>51</v>
      </c>
      <c r="Y6" s="92">
        <v>52</v>
      </c>
      <c r="Z6" s="92">
        <v>53</v>
      </c>
      <c r="AA6" s="92">
        <v>54</v>
      </c>
      <c r="AB6" s="92">
        <v>55</v>
      </c>
      <c r="AC6" s="92" t="s">
        <v>379</v>
      </c>
      <c r="AD6" s="92">
        <v>67</v>
      </c>
      <c r="AE6" s="92">
        <v>68</v>
      </c>
      <c r="AF6" s="92">
        <v>69</v>
      </c>
      <c r="AG6" s="92">
        <v>70</v>
      </c>
      <c r="AH6" s="92">
        <v>71</v>
      </c>
      <c r="AI6" s="92">
        <v>72</v>
      </c>
      <c r="AJ6" s="92" t="s">
        <v>380</v>
      </c>
      <c r="AK6" s="92">
        <v>88</v>
      </c>
      <c r="AL6" s="92">
        <v>89</v>
      </c>
      <c r="AM6" s="92">
        <v>90</v>
      </c>
      <c r="AN6" s="92">
        <v>91</v>
      </c>
      <c r="AO6" s="92">
        <v>92</v>
      </c>
      <c r="AP6" s="92">
        <v>93</v>
      </c>
      <c r="AQ6" s="92">
        <v>95</v>
      </c>
      <c r="AR6" s="92">
        <v>96</v>
      </c>
      <c r="AS6" s="92">
        <v>97</v>
      </c>
      <c r="AT6" s="92" t="s">
        <v>381</v>
      </c>
      <c r="AU6" s="1058" t="s">
        <v>382</v>
      </c>
      <c r="AV6" s="92">
        <v>106</v>
      </c>
      <c r="AW6" s="92">
        <v>107</v>
      </c>
      <c r="AX6" s="92">
        <v>108</v>
      </c>
      <c r="AY6" s="92">
        <v>109</v>
      </c>
      <c r="AZ6" s="92">
        <v>110</v>
      </c>
      <c r="BA6" s="92">
        <v>111</v>
      </c>
      <c r="BB6" s="92">
        <v>112</v>
      </c>
      <c r="BC6" s="92" t="s">
        <v>383</v>
      </c>
      <c r="BD6" s="92" t="s">
        <v>384</v>
      </c>
      <c r="BE6" s="92">
        <v>130</v>
      </c>
      <c r="BF6" s="92">
        <v>131</v>
      </c>
      <c r="BG6" s="92">
        <v>132</v>
      </c>
      <c r="BH6" s="92">
        <v>133</v>
      </c>
      <c r="BI6" s="92" t="s">
        <v>385</v>
      </c>
      <c r="BJ6" s="92">
        <v>135</v>
      </c>
      <c r="BK6" s="92">
        <v>136</v>
      </c>
      <c r="BL6" s="92">
        <v>137</v>
      </c>
      <c r="BM6" s="92">
        <v>138</v>
      </c>
      <c r="BN6" s="92">
        <v>139</v>
      </c>
      <c r="BO6" s="92">
        <v>140</v>
      </c>
      <c r="BP6" s="93"/>
      <c r="BQ6" s="92">
        <v>156</v>
      </c>
      <c r="BR6" s="92">
        <v>157</v>
      </c>
      <c r="BS6" s="92">
        <v>158</v>
      </c>
      <c r="BT6" s="92">
        <v>159</v>
      </c>
      <c r="BU6" s="92">
        <v>160</v>
      </c>
      <c r="BV6" s="92">
        <v>161</v>
      </c>
      <c r="BW6" s="92" t="s">
        <v>386</v>
      </c>
      <c r="BX6" s="135">
        <v>177</v>
      </c>
      <c r="BY6" s="136"/>
      <c r="BZ6" s="136"/>
    </row>
    <row r="7" spans="1:78" s="94" customFormat="1" ht="18.75">
      <c r="A7" s="1634" t="s">
        <v>70</v>
      </c>
      <c r="B7" s="1635"/>
      <c r="C7" s="1636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1058"/>
      <c r="AV7" s="137">
        <f>ROUND(AV13/AU13,3)</f>
        <v>1.464</v>
      </c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3"/>
      <c r="BQ7" s="92"/>
      <c r="BR7" s="92"/>
      <c r="BS7" s="92"/>
      <c r="BT7" s="92"/>
      <c r="BU7" s="92"/>
      <c r="BV7" s="92"/>
      <c r="BW7" s="92"/>
      <c r="BX7" s="135"/>
      <c r="BY7" s="136"/>
      <c r="BZ7" s="136"/>
    </row>
    <row r="8" spans="1:78" s="106" customFormat="1" ht="16.5">
      <c r="A8" s="138" t="s">
        <v>387</v>
      </c>
      <c r="B8" s="139" t="s">
        <v>403</v>
      </c>
      <c r="C8" s="140" t="s">
        <v>390</v>
      </c>
      <c r="D8" s="141">
        <f t="shared" ref="D8:D18" si="0">D9</f>
        <v>31250.82</v>
      </c>
      <c r="E8" s="98">
        <v>259</v>
      </c>
      <c r="F8" s="141">
        <f t="shared" ref="F8:F18" si="1">F9</f>
        <v>38535.26</v>
      </c>
      <c r="G8" s="98">
        <v>313</v>
      </c>
      <c r="H8" s="141">
        <f t="shared" ref="H8:H18" si="2">H9</f>
        <v>36779.949999999997</v>
      </c>
      <c r="I8" s="98">
        <v>65</v>
      </c>
      <c r="J8" s="142">
        <f>ROUND((D8*E8+F8*G8+H8*I8),2)</f>
        <v>22546195.510000002</v>
      </c>
      <c r="K8" s="141">
        <f t="shared" ref="K8:K18" si="3">K9</f>
        <v>35546.49</v>
      </c>
      <c r="L8" s="101"/>
      <c r="M8" s="141">
        <f t="shared" ref="M8:M18" si="4">M9</f>
        <v>43923.6</v>
      </c>
      <c r="N8" s="101"/>
      <c r="O8" s="141">
        <f t="shared" ref="O8:O18" si="5">O9</f>
        <v>41904.99</v>
      </c>
      <c r="P8" s="101"/>
      <c r="Q8" s="142">
        <f>ROUND((K8*L8+M8*N8+O8*P8),2)</f>
        <v>0</v>
      </c>
      <c r="R8" s="141">
        <f t="shared" ref="R8:R18" si="6">R9</f>
        <v>41274.050000000003</v>
      </c>
      <c r="S8" s="100"/>
      <c r="T8" s="141">
        <f t="shared" ref="T8:T18" si="7">T9</f>
        <v>51108.05</v>
      </c>
      <c r="U8" s="100"/>
      <c r="V8" s="141">
        <f t="shared" ref="V8:V18" si="8">V9</f>
        <v>48738.38</v>
      </c>
      <c r="W8" s="103"/>
      <c r="X8" s="142">
        <f>ROUND((R8*S8+T8*U8+V8*W8),2)</f>
        <v>0</v>
      </c>
      <c r="Y8" s="141">
        <f t="shared" ref="Y8:Y18" si="9">Y9</f>
        <v>45569.73</v>
      </c>
      <c r="Z8" s="100"/>
      <c r="AA8" s="141">
        <f t="shared" ref="AA8:AA18" si="10">AA9</f>
        <v>56496.39</v>
      </c>
      <c r="AB8" s="100"/>
      <c r="AC8" s="142">
        <f>ROUND((Y8*Z8+AA8*AB8),2)</f>
        <v>0</v>
      </c>
      <c r="AD8" s="141">
        <f t="shared" ref="AD8:AD18" si="11">AD9</f>
        <v>54161.08</v>
      </c>
      <c r="AE8" s="104"/>
      <c r="AF8" s="141">
        <f t="shared" ref="AF8:AF18" si="12">AF9</f>
        <v>67273.100000000006</v>
      </c>
      <c r="AG8" s="104"/>
      <c r="AH8" s="141">
        <f t="shared" ref="AH8:AH18" si="13">AH9</f>
        <v>64113.51</v>
      </c>
      <c r="AI8" s="104"/>
      <c r="AJ8" s="142">
        <f>ROUND((AD8*AE8+AF8*AG8+AH8*AI8),2)</f>
        <v>0</v>
      </c>
      <c r="AK8" s="141">
        <f t="shared" ref="AK8:AK18" si="14">AK9</f>
        <v>29360.82</v>
      </c>
      <c r="AL8" s="101"/>
      <c r="AM8" s="141">
        <f t="shared" ref="AM8:AM18" si="15">AM9</f>
        <v>36645.26</v>
      </c>
      <c r="AN8" s="101"/>
      <c r="AO8" s="141">
        <f t="shared" ref="AO8:AO18" si="16">AO9</f>
        <v>34889.949999999997</v>
      </c>
      <c r="AP8" s="101"/>
      <c r="AQ8" s="142">
        <f>ROUND((AK8*AL8+AM8*AN8+AO8*AP8),2)</f>
        <v>0</v>
      </c>
      <c r="AR8" s="141">
        <f t="shared" ref="AR8:AR18" si="17">AR9</f>
        <v>35718.379999999997</v>
      </c>
      <c r="AS8" s="104"/>
      <c r="AT8" s="142">
        <f>ROUND(AR8*AS8,2)</f>
        <v>0</v>
      </c>
      <c r="AU8" s="143">
        <f>AT8+AQ8+AJ8+AC8+X8+Q8+J8</f>
        <v>22546195.510000002</v>
      </c>
      <c r="AV8" s="105">
        <f>AV13/AU13</f>
        <v>1.4638957543697113</v>
      </c>
      <c r="AW8" s="141">
        <f t="shared" ref="AW8:AW18" si="18">AW9</f>
        <v>65258.22</v>
      </c>
      <c r="AX8" s="102"/>
      <c r="AY8" s="141">
        <f t="shared" ref="AY8:AY18" si="19">AY9</f>
        <v>81192.94</v>
      </c>
      <c r="AZ8" s="102"/>
      <c r="BA8" s="141">
        <f t="shared" ref="BA8:BA18" si="20">BA9</f>
        <v>77353.2</v>
      </c>
      <c r="BB8" s="102"/>
      <c r="BC8" s="142">
        <f>ROUND((AW8*AX8+AY8*AZ8+BA8*BB8),2)</f>
        <v>0</v>
      </c>
      <c r="BD8" s="141">
        <f t="shared" ref="BD8:BD18" si="21">BD9</f>
        <v>77787.27</v>
      </c>
      <c r="BE8" s="100"/>
      <c r="BF8" s="141">
        <f t="shared" ref="BF8:BF18" si="22">BF9</f>
        <v>96908.93</v>
      </c>
      <c r="BG8" s="100"/>
      <c r="BH8" s="142">
        <f>ROUND((BD8*BE8+BF8*BG8),2)</f>
        <v>0</v>
      </c>
      <c r="BI8" s="144">
        <f>BH8+BC8</f>
        <v>0</v>
      </c>
      <c r="BJ8" s="141">
        <f t="shared" ref="BJ8:BJ18" si="23">BJ9</f>
        <v>25708.01</v>
      </c>
      <c r="BK8" s="100"/>
      <c r="BL8" s="141">
        <f t="shared" ref="BL8:BL18" si="24">BL9</f>
        <v>27763.9</v>
      </c>
      <c r="BM8" s="100"/>
      <c r="BN8" s="141">
        <f t="shared" ref="BN8:BN18" si="25">BN9</f>
        <v>23851.91</v>
      </c>
      <c r="BO8" s="100"/>
      <c r="BP8" s="142">
        <f>ROUND((BJ8*BK8+BL8*BM8+BN8*BO8),2)</f>
        <v>0</v>
      </c>
      <c r="BQ8" s="141">
        <f t="shared" ref="BQ8:BQ18" si="26">BQ9</f>
        <v>29360.82</v>
      </c>
      <c r="BR8" s="103"/>
      <c r="BS8" s="141">
        <f t="shared" ref="BS8:BS18" si="27">BS9</f>
        <v>36645.26</v>
      </c>
      <c r="BT8" s="103"/>
      <c r="BU8" s="141">
        <f t="shared" ref="BU8:BU18" si="28">BU9</f>
        <v>34889.949999999997</v>
      </c>
      <c r="BV8" s="103"/>
      <c r="BW8" s="142">
        <f>ROUND((BQ8*BR8+BS8*BT8+BU8*BV8),2)</f>
        <v>0</v>
      </c>
      <c r="BX8" s="145">
        <f>BV8+BT8+BR8+BO8+BM8+BK8+BG8+BE8+BB8+AZ8+AX8+AS8+AP8+AN8+AL8+AI8+AG8+AE8+AB8+Z8+W8+U8+S8+P8+N8+L8+I8+G8+E8</f>
        <v>637</v>
      </c>
      <c r="BY8" s="146"/>
      <c r="BZ8" s="107"/>
    </row>
    <row r="9" spans="1:78" s="116" customFormat="1" ht="16.5">
      <c r="A9" s="108"/>
      <c r="B9" s="124" t="s">
        <v>404</v>
      </c>
      <c r="C9" s="147"/>
      <c r="D9" s="141">
        <f t="shared" si="0"/>
        <v>31250.82</v>
      </c>
      <c r="E9" s="110">
        <v>27</v>
      </c>
      <c r="F9" s="141">
        <f t="shared" si="1"/>
        <v>38535.26</v>
      </c>
      <c r="G9" s="110">
        <v>32</v>
      </c>
      <c r="H9" s="141">
        <f t="shared" si="2"/>
        <v>36779.949999999997</v>
      </c>
      <c r="I9" s="114"/>
      <c r="J9" s="142">
        <f>ROUND((D9*E9+F9*G9+H9*I9),2)</f>
        <v>2076900.46</v>
      </c>
      <c r="K9" s="141">
        <f t="shared" si="3"/>
        <v>35546.49</v>
      </c>
      <c r="L9" s="111"/>
      <c r="M9" s="141">
        <f t="shared" si="4"/>
        <v>43923.6</v>
      </c>
      <c r="N9" s="111"/>
      <c r="O9" s="141">
        <f t="shared" si="5"/>
        <v>41904.99</v>
      </c>
      <c r="P9" s="111"/>
      <c r="Q9" s="142">
        <f>ROUND((K9*L9+M9*N9+O9*P9),2)</f>
        <v>0</v>
      </c>
      <c r="R9" s="141">
        <f t="shared" si="6"/>
        <v>41274.050000000003</v>
      </c>
      <c r="S9" s="111"/>
      <c r="T9" s="141">
        <f t="shared" si="7"/>
        <v>51108.05</v>
      </c>
      <c r="U9" s="111"/>
      <c r="V9" s="141">
        <f t="shared" si="8"/>
        <v>48738.38</v>
      </c>
      <c r="W9" s="111"/>
      <c r="X9" s="142">
        <f>ROUND((R9*S9+T9*U9+V9*W9),2)</f>
        <v>0</v>
      </c>
      <c r="Y9" s="141">
        <f t="shared" si="9"/>
        <v>45569.73</v>
      </c>
      <c r="Z9" s="111"/>
      <c r="AA9" s="141">
        <f t="shared" si="10"/>
        <v>56496.39</v>
      </c>
      <c r="AB9" s="111"/>
      <c r="AC9" s="142">
        <f>ROUND((Y9*Z9+AA9*AB9),2)</f>
        <v>0</v>
      </c>
      <c r="AD9" s="141">
        <f t="shared" si="11"/>
        <v>54161.08</v>
      </c>
      <c r="AE9" s="114"/>
      <c r="AF9" s="141">
        <f t="shared" si="12"/>
        <v>67273.100000000006</v>
      </c>
      <c r="AG9" s="113"/>
      <c r="AH9" s="141">
        <f t="shared" si="13"/>
        <v>64113.51</v>
      </c>
      <c r="AI9" s="113"/>
      <c r="AJ9" s="142">
        <f>ROUND((AD9*AE9+AF9*AG9+AH9*AI9),2)</f>
        <v>0</v>
      </c>
      <c r="AK9" s="141">
        <f t="shared" si="14"/>
        <v>29360.82</v>
      </c>
      <c r="AL9" s="113"/>
      <c r="AM9" s="141">
        <f t="shared" si="15"/>
        <v>36645.26</v>
      </c>
      <c r="AN9" s="113"/>
      <c r="AO9" s="141">
        <f t="shared" si="16"/>
        <v>34889.949999999997</v>
      </c>
      <c r="AP9" s="113"/>
      <c r="AQ9" s="142">
        <f>ROUND((AK9*AL9+AM9*AN9+AO9*AP9),2)</f>
        <v>0</v>
      </c>
      <c r="AR9" s="141">
        <f t="shared" si="17"/>
        <v>35718.379999999997</v>
      </c>
      <c r="AS9" s="114">
        <v>6</v>
      </c>
      <c r="AT9" s="142">
        <f>ROUND(AR9*AS9,2)</f>
        <v>214310.28</v>
      </c>
      <c r="AU9" s="143">
        <f>AT9+AQ9+AJ9+AC9+X9+Q9+J9</f>
        <v>2291210.7399999998</v>
      </c>
      <c r="AV9" s="115"/>
      <c r="AW9" s="141">
        <f t="shared" si="18"/>
        <v>65258.22</v>
      </c>
      <c r="AX9" s="113"/>
      <c r="AY9" s="141">
        <f t="shared" si="19"/>
        <v>81192.94</v>
      </c>
      <c r="AZ9" s="113"/>
      <c r="BA9" s="141">
        <f t="shared" si="20"/>
        <v>77353.2</v>
      </c>
      <c r="BB9" s="113"/>
      <c r="BC9" s="142">
        <f>ROUND((AW9*AX9+AY9*AZ9+BA9*BB9),2)</f>
        <v>0</v>
      </c>
      <c r="BD9" s="141">
        <f t="shared" si="21"/>
        <v>77787.27</v>
      </c>
      <c r="BE9" s="111"/>
      <c r="BF9" s="141">
        <f t="shared" si="22"/>
        <v>96908.93</v>
      </c>
      <c r="BG9" s="111"/>
      <c r="BH9" s="142">
        <f>ROUND((BD9*BE9+BF9*BG9),2)</f>
        <v>0</v>
      </c>
      <c r="BI9" s="144">
        <f>BH9+BC9</f>
        <v>0</v>
      </c>
      <c r="BJ9" s="141">
        <f t="shared" si="23"/>
        <v>25708.01</v>
      </c>
      <c r="BK9" s="111"/>
      <c r="BL9" s="141">
        <f t="shared" si="24"/>
        <v>27763.9</v>
      </c>
      <c r="BM9" s="111"/>
      <c r="BN9" s="141">
        <f t="shared" si="25"/>
        <v>23851.91</v>
      </c>
      <c r="BO9" s="111"/>
      <c r="BP9" s="142">
        <f>ROUND((BJ9*BK9+BL9*BM9+BN9*BO9),2)</f>
        <v>0</v>
      </c>
      <c r="BQ9" s="141">
        <f t="shared" si="26"/>
        <v>29360.82</v>
      </c>
      <c r="BR9" s="111"/>
      <c r="BS9" s="141">
        <f t="shared" si="27"/>
        <v>36645.26</v>
      </c>
      <c r="BT9" s="111"/>
      <c r="BU9" s="141">
        <f t="shared" si="28"/>
        <v>34889.949999999997</v>
      </c>
      <c r="BV9" s="111"/>
      <c r="BW9" s="142">
        <f>ROUND((BQ9*BR9+BS9*BT9+BU9*BV9),2)</f>
        <v>0</v>
      </c>
      <c r="BX9" s="145">
        <f>BV9+BT9+BR9+BO9+BM9+BK9+BG9+BE9+BB9+AZ9+AX9+AS9+AP9+AN9+AL9+AI9+AG9+AE9+AB9+Z9+W9+U9+S9+P9+N9+L9+I9+G9+E9</f>
        <v>65</v>
      </c>
      <c r="BY9" s="117"/>
      <c r="BZ9" s="117"/>
    </row>
    <row r="10" spans="1:78" s="116" customFormat="1" ht="16.5">
      <c r="A10" s="118"/>
      <c r="B10" s="148" t="s">
        <v>405</v>
      </c>
      <c r="C10" s="149"/>
      <c r="D10" s="141">
        <f t="shared" si="0"/>
        <v>31250.82</v>
      </c>
      <c r="E10" s="110">
        <v>22</v>
      </c>
      <c r="F10" s="141">
        <f t="shared" si="1"/>
        <v>38535.26</v>
      </c>
      <c r="G10" s="110">
        <v>31</v>
      </c>
      <c r="H10" s="141">
        <f t="shared" si="2"/>
        <v>36779.949999999997</v>
      </c>
      <c r="I10" s="114"/>
      <c r="J10" s="142">
        <f>ROUND((D10*E10+F10*G10+H10*I10),2)</f>
        <v>1882111.1</v>
      </c>
      <c r="K10" s="141">
        <f t="shared" si="3"/>
        <v>35546.49</v>
      </c>
      <c r="L10" s="111"/>
      <c r="M10" s="141">
        <f t="shared" si="4"/>
        <v>43923.6</v>
      </c>
      <c r="N10" s="111"/>
      <c r="O10" s="141">
        <f t="shared" si="5"/>
        <v>41904.99</v>
      </c>
      <c r="P10" s="111"/>
      <c r="Q10" s="142">
        <f>ROUND((K10*L10+M10*N10+O10*P10),2)</f>
        <v>0</v>
      </c>
      <c r="R10" s="141">
        <f t="shared" si="6"/>
        <v>41274.050000000003</v>
      </c>
      <c r="S10" s="111"/>
      <c r="T10" s="141">
        <f t="shared" si="7"/>
        <v>51108.05</v>
      </c>
      <c r="U10" s="111"/>
      <c r="V10" s="141">
        <f t="shared" si="8"/>
        <v>48738.38</v>
      </c>
      <c r="W10" s="111"/>
      <c r="X10" s="142">
        <f>ROUND((R10*S10+T10*U10+V10*W10),2)</f>
        <v>0</v>
      </c>
      <c r="Y10" s="141">
        <f t="shared" si="9"/>
        <v>45569.73</v>
      </c>
      <c r="Z10" s="111"/>
      <c r="AA10" s="141">
        <f t="shared" si="10"/>
        <v>56496.39</v>
      </c>
      <c r="AB10" s="111"/>
      <c r="AC10" s="142">
        <f>ROUND((Y10*Z10+AA10*AB10),2)</f>
        <v>0</v>
      </c>
      <c r="AD10" s="141">
        <f t="shared" si="11"/>
        <v>54161.08</v>
      </c>
      <c r="AE10" s="113"/>
      <c r="AF10" s="141">
        <f t="shared" si="12"/>
        <v>67273.100000000006</v>
      </c>
      <c r="AG10" s="113"/>
      <c r="AH10" s="141">
        <f t="shared" si="13"/>
        <v>64113.51</v>
      </c>
      <c r="AI10" s="113"/>
      <c r="AJ10" s="142">
        <f>ROUND((AD10*AE10+AF10*AG10+AH10*AI10),2)</f>
        <v>0</v>
      </c>
      <c r="AK10" s="141">
        <f t="shared" si="14"/>
        <v>29360.82</v>
      </c>
      <c r="AL10" s="113"/>
      <c r="AM10" s="141">
        <f t="shared" si="15"/>
        <v>36645.26</v>
      </c>
      <c r="AN10" s="113"/>
      <c r="AO10" s="141">
        <f t="shared" si="16"/>
        <v>34889.949999999997</v>
      </c>
      <c r="AP10" s="113"/>
      <c r="AQ10" s="142">
        <f>ROUND((AK10*AL10+AM10*AN10+AO10*AP10),2)</f>
        <v>0</v>
      </c>
      <c r="AR10" s="141">
        <f t="shared" si="17"/>
        <v>35718.379999999997</v>
      </c>
      <c r="AS10" s="114"/>
      <c r="AT10" s="142">
        <f>ROUND(AR10*AS10,2)</f>
        <v>0</v>
      </c>
      <c r="AU10" s="143">
        <f>AT10+AQ10+AJ10+AC10+X10+Q10+J10</f>
        <v>1882111.1</v>
      </c>
      <c r="AV10" s="115"/>
      <c r="AW10" s="141">
        <f t="shared" si="18"/>
        <v>65258.22</v>
      </c>
      <c r="AX10" s="113"/>
      <c r="AY10" s="141">
        <f t="shared" si="19"/>
        <v>81192.94</v>
      </c>
      <c r="AZ10" s="113"/>
      <c r="BA10" s="141">
        <f t="shared" si="20"/>
        <v>77353.2</v>
      </c>
      <c r="BB10" s="113"/>
      <c r="BC10" s="142">
        <f>ROUND((AW10*AX10+AY10*AZ10+BA10*BB10),2)</f>
        <v>0</v>
      </c>
      <c r="BD10" s="141">
        <f t="shared" si="21"/>
        <v>77787.27</v>
      </c>
      <c r="BE10" s="111"/>
      <c r="BF10" s="141">
        <f t="shared" si="22"/>
        <v>96908.93</v>
      </c>
      <c r="BG10" s="111"/>
      <c r="BH10" s="142">
        <f>ROUND((BD10*BE10+BF10*BG10),2)</f>
        <v>0</v>
      </c>
      <c r="BI10" s="144">
        <f>BH10+BC10</f>
        <v>0</v>
      </c>
      <c r="BJ10" s="141">
        <f t="shared" si="23"/>
        <v>25708.01</v>
      </c>
      <c r="BK10" s="111"/>
      <c r="BL10" s="141">
        <f t="shared" si="24"/>
        <v>27763.9</v>
      </c>
      <c r="BM10" s="111"/>
      <c r="BN10" s="141">
        <f t="shared" si="25"/>
        <v>23851.91</v>
      </c>
      <c r="BO10" s="111"/>
      <c r="BP10" s="142">
        <f>ROUND((BJ10*BK10+BL10*BM10+BN10*BO10),2)</f>
        <v>0</v>
      </c>
      <c r="BQ10" s="141">
        <f t="shared" si="26"/>
        <v>29360.82</v>
      </c>
      <c r="BR10" s="111"/>
      <c r="BS10" s="141">
        <f t="shared" si="27"/>
        <v>36645.26</v>
      </c>
      <c r="BT10" s="111"/>
      <c r="BU10" s="141">
        <f t="shared" si="28"/>
        <v>34889.949999999997</v>
      </c>
      <c r="BV10" s="111"/>
      <c r="BW10" s="142">
        <f>ROUND((BQ10*BR10+BS10*BT10+BU10*BV10),2)</f>
        <v>0</v>
      </c>
      <c r="BX10" s="145">
        <f>BV10+BT10+BR10+BO10+BM10+BK10+BG10+BE10+BB10+AZ10+AX10+AS10+AP10+AN10+AL10+AI10+AG10+AE10+AB10+Z10+W10+U10+S10+P10+N10+L10+I10+G10+E10</f>
        <v>53</v>
      </c>
      <c r="BY10" s="117"/>
      <c r="BZ10" s="117"/>
    </row>
    <row r="11" spans="1:78" s="116" customFormat="1" ht="16.5">
      <c r="A11" s="118"/>
      <c r="B11" s="148" t="s">
        <v>406</v>
      </c>
      <c r="C11" s="150"/>
      <c r="D11" s="141">
        <f t="shared" si="0"/>
        <v>31250.82</v>
      </c>
      <c r="E11" s="98">
        <v>23</v>
      </c>
      <c r="F11" s="141">
        <f t="shared" si="1"/>
        <v>38535.26</v>
      </c>
      <c r="G11" s="104"/>
      <c r="H11" s="141">
        <f t="shared" si="2"/>
        <v>36779.949999999997</v>
      </c>
      <c r="I11" s="104"/>
      <c r="J11" s="142">
        <f>ROUND((D11*E11+F11*G11+H11*I11),2)</f>
        <v>718768.86</v>
      </c>
      <c r="K11" s="141">
        <f t="shared" si="3"/>
        <v>35546.49</v>
      </c>
      <c r="L11" s="104"/>
      <c r="M11" s="141">
        <f t="shared" si="4"/>
        <v>43923.6</v>
      </c>
      <c r="N11" s="104"/>
      <c r="O11" s="141">
        <f t="shared" si="5"/>
        <v>41904.99</v>
      </c>
      <c r="P11" s="104"/>
      <c r="Q11" s="142">
        <f>ROUND((K11*L11+M11*N11+O11*P11),2)</f>
        <v>0</v>
      </c>
      <c r="R11" s="141">
        <f t="shared" si="6"/>
        <v>41274.050000000003</v>
      </c>
      <c r="S11" s="104"/>
      <c r="T11" s="141">
        <f t="shared" si="7"/>
        <v>51108.05</v>
      </c>
      <c r="U11" s="104"/>
      <c r="V11" s="141">
        <f t="shared" si="8"/>
        <v>48738.38</v>
      </c>
      <c r="W11" s="104"/>
      <c r="X11" s="142">
        <f>ROUND((R11*S11+T11*U11+V11*W11),2)</f>
        <v>0</v>
      </c>
      <c r="Y11" s="141">
        <f t="shared" si="9"/>
        <v>45569.73</v>
      </c>
      <c r="Z11" s="104"/>
      <c r="AA11" s="141">
        <f t="shared" si="10"/>
        <v>56496.39</v>
      </c>
      <c r="AB11" s="104"/>
      <c r="AC11" s="142">
        <f>ROUND((Y11*Z11+AA11*AB11),2)</f>
        <v>0</v>
      </c>
      <c r="AD11" s="141">
        <f t="shared" si="11"/>
        <v>54161.08</v>
      </c>
      <c r="AE11" s="104"/>
      <c r="AF11" s="141">
        <f t="shared" si="12"/>
        <v>67273.100000000006</v>
      </c>
      <c r="AG11" s="104"/>
      <c r="AH11" s="141">
        <f t="shared" si="13"/>
        <v>64113.51</v>
      </c>
      <c r="AI11" s="104"/>
      <c r="AJ11" s="142">
        <f>ROUND((AD11*AE11+AF11*AG11+AH11*AI11),2)</f>
        <v>0</v>
      </c>
      <c r="AK11" s="141">
        <f t="shared" si="14"/>
        <v>29360.82</v>
      </c>
      <c r="AL11" s="104"/>
      <c r="AM11" s="141">
        <f t="shared" si="15"/>
        <v>36645.26</v>
      </c>
      <c r="AN11" s="104"/>
      <c r="AO11" s="141">
        <f t="shared" si="16"/>
        <v>34889.949999999997</v>
      </c>
      <c r="AP11" s="104"/>
      <c r="AQ11" s="142">
        <f>ROUND((AK11*AL11+AM11*AN11+AO11*AP11),2)</f>
        <v>0</v>
      </c>
      <c r="AR11" s="141">
        <f t="shared" si="17"/>
        <v>35718.379999999997</v>
      </c>
      <c r="AS11" s="104"/>
      <c r="AT11" s="142">
        <f>ROUND(AR11*AS11,2)</f>
        <v>0</v>
      </c>
      <c r="AU11" s="143">
        <f>AT11+AQ11+AJ11+AC11+X11+Q11+J11</f>
        <v>718768.86</v>
      </c>
      <c r="AV11" s="104"/>
      <c r="AW11" s="141">
        <f t="shared" si="18"/>
        <v>65258.22</v>
      </c>
      <c r="AX11" s="104"/>
      <c r="AY11" s="141">
        <f t="shared" si="19"/>
        <v>81192.94</v>
      </c>
      <c r="AZ11" s="104"/>
      <c r="BA11" s="141">
        <f t="shared" si="20"/>
        <v>77353.2</v>
      </c>
      <c r="BB11" s="104"/>
      <c r="BC11" s="142">
        <f>ROUND((AW11*AX11+AY11*AZ11+BA11*BB11),2)</f>
        <v>0</v>
      </c>
      <c r="BD11" s="141">
        <f t="shared" si="21"/>
        <v>77787.27</v>
      </c>
      <c r="BE11" s="104"/>
      <c r="BF11" s="141">
        <f t="shared" si="22"/>
        <v>96908.93</v>
      </c>
      <c r="BG11" s="104"/>
      <c r="BH11" s="142">
        <f>ROUND((BD11*BE11+BF11*BG11),2)</f>
        <v>0</v>
      </c>
      <c r="BI11" s="144">
        <f>BH11+BC11</f>
        <v>0</v>
      </c>
      <c r="BJ11" s="141">
        <f t="shared" si="23"/>
        <v>25708.01</v>
      </c>
      <c r="BK11" s="104"/>
      <c r="BL11" s="141">
        <f t="shared" si="24"/>
        <v>27763.9</v>
      </c>
      <c r="BM11" s="104"/>
      <c r="BN11" s="141">
        <f t="shared" si="25"/>
        <v>23851.91</v>
      </c>
      <c r="BO11" s="104"/>
      <c r="BP11" s="142">
        <f>ROUND((BJ11*BK11+BL11*BM11+BN11*BO11),2)</f>
        <v>0</v>
      </c>
      <c r="BQ11" s="141">
        <f t="shared" si="26"/>
        <v>29360.82</v>
      </c>
      <c r="BR11" s="104"/>
      <c r="BS11" s="141">
        <f t="shared" si="27"/>
        <v>36645.26</v>
      </c>
      <c r="BT11" s="104"/>
      <c r="BU11" s="141">
        <f t="shared" si="28"/>
        <v>34889.949999999997</v>
      </c>
      <c r="BV11" s="104"/>
      <c r="BW11" s="142">
        <f>ROUND((BQ11*BR11+BS11*BT11+BU11*BV11),2)</f>
        <v>0</v>
      </c>
      <c r="BX11" s="145">
        <f>BV11+BT11+BR11+BO11+BM11+BK11+BG11+BE11+BB11+AZ11+AX11+AS11+AP11+AN11+AL11+AI11+AG11+AE11+AB11+Z11+W11+U11+S11+P11+N11+L11+I11+G11+E11</f>
        <v>23</v>
      </c>
      <c r="BY11" s="117"/>
      <c r="BZ11" s="117"/>
    </row>
    <row r="12" spans="1:78" s="159" customFormat="1" ht="17.25" thickBot="1">
      <c r="A12" s="151"/>
      <c r="B12" s="152" t="s">
        <v>407</v>
      </c>
      <c r="C12" s="153"/>
      <c r="D12" s="141">
        <f t="shared" si="0"/>
        <v>31250.82</v>
      </c>
      <c r="E12" s="154">
        <f>E8+E9+E10+E11</f>
        <v>331</v>
      </c>
      <c r="F12" s="141">
        <f t="shared" si="1"/>
        <v>38535.26</v>
      </c>
      <c r="G12" s="155">
        <f>G8+G9+G10+G11</f>
        <v>376</v>
      </c>
      <c r="H12" s="141">
        <f t="shared" si="2"/>
        <v>36779.949999999997</v>
      </c>
      <c r="I12" s="155">
        <f>I8+I9+I10+I11</f>
        <v>65</v>
      </c>
      <c r="J12" s="155">
        <f>J8+J9+J10+J11</f>
        <v>27223975.930000003</v>
      </c>
      <c r="K12" s="141">
        <f t="shared" si="3"/>
        <v>35546.49</v>
      </c>
      <c r="L12" s="155">
        <f>L8+L9+L10+L11</f>
        <v>0</v>
      </c>
      <c r="M12" s="141">
        <f t="shared" si="4"/>
        <v>43923.6</v>
      </c>
      <c r="N12" s="155">
        <f>N8+N9+N10+N11</f>
        <v>0</v>
      </c>
      <c r="O12" s="141">
        <f t="shared" si="5"/>
        <v>41904.99</v>
      </c>
      <c r="P12" s="155">
        <f>P8+P9+P10+P11</f>
        <v>0</v>
      </c>
      <c r="Q12" s="155">
        <f>Q8+Q9+Q10+Q11</f>
        <v>0</v>
      </c>
      <c r="R12" s="141">
        <f t="shared" si="6"/>
        <v>41274.050000000003</v>
      </c>
      <c r="S12" s="155">
        <f>S8+S9+S10+S11</f>
        <v>0</v>
      </c>
      <c r="T12" s="141">
        <f t="shared" si="7"/>
        <v>51108.05</v>
      </c>
      <c r="U12" s="155">
        <f>U8+U9+U10+U11</f>
        <v>0</v>
      </c>
      <c r="V12" s="141">
        <f t="shared" si="8"/>
        <v>48738.38</v>
      </c>
      <c r="W12" s="155">
        <f>W8+W9+W10+W11</f>
        <v>0</v>
      </c>
      <c r="X12" s="155">
        <f>X8+X9+X10+X11</f>
        <v>0</v>
      </c>
      <c r="Y12" s="141">
        <f t="shared" si="9"/>
        <v>45569.73</v>
      </c>
      <c r="Z12" s="155">
        <f>Z8+Z9+Z10+Z11</f>
        <v>0</v>
      </c>
      <c r="AA12" s="141">
        <f t="shared" si="10"/>
        <v>56496.39</v>
      </c>
      <c r="AB12" s="155">
        <f>AB8+AB9+AB10+AB11</f>
        <v>0</v>
      </c>
      <c r="AC12" s="155">
        <f>AC8+AC9+AC10+AC11</f>
        <v>0</v>
      </c>
      <c r="AD12" s="141">
        <f t="shared" si="11"/>
        <v>54161.08</v>
      </c>
      <c r="AE12" s="155">
        <f>AE8+AE9+AE10+AE11</f>
        <v>0</v>
      </c>
      <c r="AF12" s="141">
        <f t="shared" si="12"/>
        <v>67273.100000000006</v>
      </c>
      <c r="AG12" s="155">
        <f>AG8+AG9+AG10+AG11</f>
        <v>0</v>
      </c>
      <c r="AH12" s="141">
        <f t="shared" si="13"/>
        <v>64113.51</v>
      </c>
      <c r="AI12" s="155">
        <f>AI8+AI9+AI10+AI11</f>
        <v>0</v>
      </c>
      <c r="AJ12" s="155">
        <f>AJ8+AJ9+AJ10+AJ11</f>
        <v>0</v>
      </c>
      <c r="AK12" s="141">
        <f t="shared" si="14"/>
        <v>29360.82</v>
      </c>
      <c r="AL12" s="155">
        <f>AL8+AL9+AL10+AL11</f>
        <v>0</v>
      </c>
      <c r="AM12" s="141">
        <f t="shared" si="15"/>
        <v>36645.26</v>
      </c>
      <c r="AN12" s="155">
        <f>AN8+AN9+AN10+AN11</f>
        <v>0</v>
      </c>
      <c r="AO12" s="141">
        <f t="shared" si="16"/>
        <v>34889.949999999997</v>
      </c>
      <c r="AP12" s="155">
        <f>AP8+AP9+AP10+AP11</f>
        <v>0</v>
      </c>
      <c r="AQ12" s="155">
        <f>AQ8+AQ9+AQ10+AQ11</f>
        <v>0</v>
      </c>
      <c r="AR12" s="141">
        <f t="shared" si="17"/>
        <v>35718.379999999997</v>
      </c>
      <c r="AS12" s="155">
        <f>AS8+AS9+AS10+AS11</f>
        <v>6</v>
      </c>
      <c r="AT12" s="155">
        <f>AT8+AT9+AT10+AT11</f>
        <v>214310.28</v>
      </c>
      <c r="AU12" s="1059">
        <f>SUM(AU8:AU11)</f>
        <v>27438286.210000001</v>
      </c>
      <c r="AV12" s="155"/>
      <c r="AW12" s="141">
        <f t="shared" si="18"/>
        <v>65258.22</v>
      </c>
      <c r="AX12" s="155">
        <f>AX8+AX9+AX10+AX11</f>
        <v>0</v>
      </c>
      <c r="AY12" s="141">
        <f t="shared" si="19"/>
        <v>81192.94</v>
      </c>
      <c r="AZ12" s="155">
        <f>AZ8+AZ9+AZ10+AZ11</f>
        <v>0</v>
      </c>
      <c r="BA12" s="141">
        <f t="shared" si="20"/>
        <v>77353.2</v>
      </c>
      <c r="BB12" s="155">
        <f>BB8+BB9+BB10+BB11</f>
        <v>0</v>
      </c>
      <c r="BC12" s="155">
        <f>BC8+BC9+BC10+BC11</f>
        <v>0</v>
      </c>
      <c r="BD12" s="141">
        <f t="shared" si="21"/>
        <v>77787.27</v>
      </c>
      <c r="BE12" s="155">
        <f>BE8+BE9+BE10+BE11</f>
        <v>0</v>
      </c>
      <c r="BF12" s="141">
        <f t="shared" si="22"/>
        <v>96908.93</v>
      </c>
      <c r="BG12" s="155">
        <f>BG8+BG9+BG10+BG11</f>
        <v>0</v>
      </c>
      <c r="BH12" s="155">
        <f>BH8+BH9+BH10+BH11</f>
        <v>0</v>
      </c>
      <c r="BI12" s="155">
        <f>BI8+BI9+BI10+BI11</f>
        <v>0</v>
      </c>
      <c r="BJ12" s="141">
        <f t="shared" si="23"/>
        <v>25708.01</v>
      </c>
      <c r="BK12" s="155">
        <f>BK8+BK9+BK10+BK11</f>
        <v>0</v>
      </c>
      <c r="BL12" s="141">
        <f t="shared" si="24"/>
        <v>27763.9</v>
      </c>
      <c r="BM12" s="155">
        <f>BM8+BM9+BM10+BM11</f>
        <v>0</v>
      </c>
      <c r="BN12" s="141">
        <f t="shared" si="25"/>
        <v>23851.91</v>
      </c>
      <c r="BO12" s="155">
        <f>BO8+BO9+BO10+BO11</f>
        <v>0</v>
      </c>
      <c r="BP12" s="155">
        <f>BP8+BP9+BP10+BP11</f>
        <v>0</v>
      </c>
      <c r="BQ12" s="141">
        <f t="shared" si="26"/>
        <v>29360.82</v>
      </c>
      <c r="BR12" s="155">
        <f t="shared" ref="BR12:BX12" si="29">BR8+BR9+BR10+BR11</f>
        <v>0</v>
      </c>
      <c r="BS12" s="141">
        <f t="shared" si="27"/>
        <v>36645.26</v>
      </c>
      <c r="BT12" s="155">
        <f t="shared" si="29"/>
        <v>0</v>
      </c>
      <c r="BU12" s="141">
        <f t="shared" si="28"/>
        <v>34889.949999999997</v>
      </c>
      <c r="BV12" s="155">
        <f t="shared" si="29"/>
        <v>0</v>
      </c>
      <c r="BW12" s="155">
        <f t="shared" si="29"/>
        <v>0</v>
      </c>
      <c r="BX12" s="157">
        <f t="shared" si="29"/>
        <v>778</v>
      </c>
      <c r="BY12" s="158"/>
      <c r="BZ12" s="158"/>
    </row>
    <row r="13" spans="1:78" s="168" customFormat="1" ht="18.75">
      <c r="A13" s="160"/>
      <c r="B13" s="161" t="s">
        <v>408</v>
      </c>
      <c r="C13" s="162"/>
      <c r="D13" s="141">
        <f t="shared" si="0"/>
        <v>31250.82</v>
      </c>
      <c r="E13" s="163">
        <f>E12</f>
        <v>331</v>
      </c>
      <c r="F13" s="141">
        <f t="shared" si="1"/>
        <v>38535.26</v>
      </c>
      <c r="G13" s="163">
        <f>G12</f>
        <v>376</v>
      </c>
      <c r="H13" s="141">
        <f t="shared" si="2"/>
        <v>36779.949999999997</v>
      </c>
      <c r="I13" s="163">
        <f>I12</f>
        <v>65</v>
      </c>
      <c r="J13" s="163">
        <f>J12</f>
        <v>27223975.930000003</v>
      </c>
      <c r="K13" s="141">
        <f t="shared" si="3"/>
        <v>35546.49</v>
      </c>
      <c r="L13" s="163">
        <f>L12</f>
        <v>0</v>
      </c>
      <c r="M13" s="141">
        <f t="shared" si="4"/>
        <v>43923.6</v>
      </c>
      <c r="N13" s="163">
        <f>N12</f>
        <v>0</v>
      </c>
      <c r="O13" s="141">
        <f t="shared" si="5"/>
        <v>41904.99</v>
      </c>
      <c r="P13" s="163">
        <f>P12</f>
        <v>0</v>
      </c>
      <c r="Q13" s="163">
        <f>Q12</f>
        <v>0</v>
      </c>
      <c r="R13" s="141">
        <f t="shared" si="6"/>
        <v>41274.050000000003</v>
      </c>
      <c r="S13" s="163">
        <f>S12</f>
        <v>0</v>
      </c>
      <c r="T13" s="141">
        <f t="shared" si="7"/>
        <v>51108.05</v>
      </c>
      <c r="U13" s="163">
        <f>U12</f>
        <v>0</v>
      </c>
      <c r="V13" s="141">
        <f t="shared" si="8"/>
        <v>48738.38</v>
      </c>
      <c r="W13" s="163">
        <f>W12</f>
        <v>0</v>
      </c>
      <c r="X13" s="163">
        <f>X12</f>
        <v>0</v>
      </c>
      <c r="Y13" s="141">
        <f t="shared" si="9"/>
        <v>45569.73</v>
      </c>
      <c r="Z13" s="163">
        <f>Z12</f>
        <v>0</v>
      </c>
      <c r="AA13" s="141">
        <f t="shared" si="10"/>
        <v>56496.39</v>
      </c>
      <c r="AB13" s="163">
        <f>AB12</f>
        <v>0</v>
      </c>
      <c r="AC13" s="163">
        <f>AC12</f>
        <v>0</v>
      </c>
      <c r="AD13" s="141">
        <f t="shared" si="11"/>
        <v>54161.08</v>
      </c>
      <c r="AE13" s="163">
        <f>AE12</f>
        <v>0</v>
      </c>
      <c r="AF13" s="141">
        <f t="shared" si="12"/>
        <v>67273.100000000006</v>
      </c>
      <c r="AG13" s="163">
        <f>AG12</f>
        <v>0</v>
      </c>
      <c r="AH13" s="141">
        <f t="shared" si="13"/>
        <v>64113.51</v>
      </c>
      <c r="AI13" s="163">
        <f>AI12</f>
        <v>0</v>
      </c>
      <c r="AJ13" s="163">
        <f>AJ12</f>
        <v>0</v>
      </c>
      <c r="AK13" s="141">
        <f t="shared" si="14"/>
        <v>29360.82</v>
      </c>
      <c r="AL13" s="163">
        <f>AL12</f>
        <v>0</v>
      </c>
      <c r="AM13" s="141">
        <f t="shared" si="15"/>
        <v>36645.26</v>
      </c>
      <c r="AN13" s="163">
        <f>AN12</f>
        <v>0</v>
      </c>
      <c r="AO13" s="141">
        <f t="shared" si="16"/>
        <v>34889.949999999997</v>
      </c>
      <c r="AP13" s="163">
        <f>AP12</f>
        <v>0</v>
      </c>
      <c r="AQ13" s="163">
        <f>AQ12</f>
        <v>0</v>
      </c>
      <c r="AR13" s="141">
        <f t="shared" si="17"/>
        <v>35718.379999999997</v>
      </c>
      <c r="AS13" s="163">
        <f>AS12</f>
        <v>6</v>
      </c>
      <c r="AT13" s="163">
        <f>AT12</f>
        <v>214310.28</v>
      </c>
      <c r="AU13" s="382">
        <f>AU12</f>
        <v>27438286.210000001</v>
      </c>
      <c r="AV13" s="164">
        <f>'старое не смотреть'!D8</f>
        <v>40166790.689999998</v>
      </c>
      <c r="AW13" s="141">
        <f t="shared" si="18"/>
        <v>65258.22</v>
      </c>
      <c r="AX13" s="163">
        <f>AX12</f>
        <v>0</v>
      </c>
      <c r="AY13" s="141">
        <f t="shared" si="19"/>
        <v>81192.94</v>
      </c>
      <c r="AZ13" s="163">
        <f>AZ12</f>
        <v>0</v>
      </c>
      <c r="BA13" s="141">
        <f t="shared" si="20"/>
        <v>77353.2</v>
      </c>
      <c r="BB13" s="163">
        <f>BB12</f>
        <v>0</v>
      </c>
      <c r="BC13" s="163">
        <f>BC12</f>
        <v>0</v>
      </c>
      <c r="BD13" s="141">
        <f t="shared" si="21"/>
        <v>77787.27</v>
      </c>
      <c r="BE13" s="163">
        <f>BE12</f>
        <v>0</v>
      </c>
      <c r="BF13" s="141">
        <f t="shared" si="22"/>
        <v>96908.93</v>
      </c>
      <c r="BG13" s="163">
        <f>BG12</f>
        <v>0</v>
      </c>
      <c r="BH13" s="163">
        <f>BH12</f>
        <v>0</v>
      </c>
      <c r="BI13" s="163">
        <f>BI12</f>
        <v>0</v>
      </c>
      <c r="BJ13" s="141">
        <f t="shared" si="23"/>
        <v>25708.01</v>
      </c>
      <c r="BK13" s="163">
        <f>BK12</f>
        <v>0</v>
      </c>
      <c r="BL13" s="141">
        <f t="shared" si="24"/>
        <v>27763.9</v>
      </c>
      <c r="BM13" s="163">
        <f>BM12</f>
        <v>0</v>
      </c>
      <c r="BN13" s="141">
        <f t="shared" si="25"/>
        <v>23851.91</v>
      </c>
      <c r="BO13" s="163">
        <f>BO12</f>
        <v>0</v>
      </c>
      <c r="BP13" s="163">
        <f>BP12</f>
        <v>0</v>
      </c>
      <c r="BQ13" s="141">
        <f t="shared" si="26"/>
        <v>29360.82</v>
      </c>
      <c r="BR13" s="163">
        <f t="shared" ref="BR13:BX13" si="30">BR12</f>
        <v>0</v>
      </c>
      <c r="BS13" s="141">
        <f t="shared" si="27"/>
        <v>36645.26</v>
      </c>
      <c r="BT13" s="163">
        <f t="shared" si="30"/>
        <v>0</v>
      </c>
      <c r="BU13" s="141">
        <f t="shared" si="28"/>
        <v>34889.949999999997</v>
      </c>
      <c r="BV13" s="163">
        <f t="shared" si="30"/>
        <v>0</v>
      </c>
      <c r="BW13" s="163">
        <f t="shared" si="30"/>
        <v>0</v>
      </c>
      <c r="BX13" s="165">
        <f t="shared" si="30"/>
        <v>778</v>
      </c>
      <c r="BY13" s="166">
        <f>ROUND((AU13*AV7+BI13+BP13+BW13),2)</f>
        <v>40169651.009999998</v>
      </c>
      <c r="BZ13" s="167"/>
    </row>
    <row r="14" spans="1:78" s="127" customFormat="1" ht="18.75">
      <c r="A14" s="1634" t="s">
        <v>75</v>
      </c>
      <c r="B14" s="1635"/>
      <c r="C14" s="1637"/>
      <c r="D14" s="141">
        <f t="shared" si="0"/>
        <v>31250.82</v>
      </c>
      <c r="F14" s="141">
        <f t="shared" si="1"/>
        <v>38535.26</v>
      </c>
      <c r="H14" s="141">
        <f t="shared" si="2"/>
        <v>36779.949999999997</v>
      </c>
      <c r="J14" s="142">
        <f>ROUND((D14*E14+F14*G14+H14*I14),2)</f>
        <v>0</v>
      </c>
      <c r="K14" s="141">
        <f t="shared" si="3"/>
        <v>35546.49</v>
      </c>
      <c r="M14" s="141">
        <f t="shared" si="4"/>
        <v>43923.6</v>
      </c>
      <c r="O14" s="141">
        <f t="shared" si="5"/>
        <v>41904.99</v>
      </c>
      <c r="Q14" s="142">
        <f>ROUND((K14*L14+M14*N14+O14*P14),2)</f>
        <v>0</v>
      </c>
      <c r="R14" s="141">
        <f t="shared" si="6"/>
        <v>41274.050000000003</v>
      </c>
      <c r="T14" s="141">
        <f t="shared" si="7"/>
        <v>51108.05</v>
      </c>
      <c r="V14" s="141">
        <f t="shared" si="8"/>
        <v>48738.38</v>
      </c>
      <c r="X14" s="142">
        <f>ROUND((R14*S14+T14*U14+V14*W14),2)</f>
        <v>0</v>
      </c>
      <c r="Y14" s="141">
        <f t="shared" si="9"/>
        <v>45569.73</v>
      </c>
      <c r="AA14" s="141">
        <f t="shared" si="10"/>
        <v>56496.39</v>
      </c>
      <c r="AD14" s="141">
        <f t="shared" si="11"/>
        <v>54161.08</v>
      </c>
      <c r="AF14" s="141">
        <f t="shared" si="12"/>
        <v>67273.100000000006</v>
      </c>
      <c r="AH14" s="141">
        <f t="shared" si="13"/>
        <v>64113.51</v>
      </c>
      <c r="AJ14" s="142">
        <f>ROUND((AD14*AE14+AF14*AG14+AH14*AI14),2)</f>
        <v>0</v>
      </c>
      <c r="AK14" s="141">
        <f t="shared" si="14"/>
        <v>29360.82</v>
      </c>
      <c r="AL14" s="128"/>
      <c r="AM14" s="141">
        <f t="shared" si="15"/>
        <v>36645.26</v>
      </c>
      <c r="AN14" s="128"/>
      <c r="AO14" s="141">
        <f t="shared" si="16"/>
        <v>34889.949999999997</v>
      </c>
      <c r="AP14" s="128"/>
      <c r="AQ14" s="142">
        <f>ROUND((AK14*AL14+AM14*AN14+AO14*AP14),2)</f>
        <v>0</v>
      </c>
      <c r="AR14" s="141">
        <f t="shared" si="17"/>
        <v>35718.379999999997</v>
      </c>
      <c r="AS14" s="128"/>
      <c r="AT14" s="142">
        <f>ROUND((AR14*AS14),2)</f>
        <v>0</v>
      </c>
      <c r="AU14" s="143"/>
      <c r="AV14" s="169">
        <f>ROUND(AV18/AU18,3)</f>
        <v>1.4730000000000001</v>
      </c>
      <c r="AW14" s="141">
        <f t="shared" si="18"/>
        <v>65258.22</v>
      </c>
      <c r="AY14" s="141">
        <f t="shared" si="19"/>
        <v>81192.94</v>
      </c>
      <c r="BA14" s="141">
        <f t="shared" si="20"/>
        <v>77353.2</v>
      </c>
      <c r="BC14" s="142">
        <f>ROUND((AW14*AX14+AY14*AZ14+BA14*BB14),2)</f>
        <v>0</v>
      </c>
      <c r="BD14" s="141">
        <f t="shared" si="21"/>
        <v>77787.27</v>
      </c>
      <c r="BF14" s="141">
        <f t="shared" si="22"/>
        <v>96908.93</v>
      </c>
      <c r="BH14" s="142">
        <f>ROUND((BD14*BE14+BF14*BG14),2)</f>
        <v>0</v>
      </c>
      <c r="BI14" s="144">
        <f>BH14+BC14</f>
        <v>0</v>
      </c>
      <c r="BJ14" s="141">
        <f t="shared" si="23"/>
        <v>25708.01</v>
      </c>
      <c r="BL14" s="141">
        <f t="shared" si="24"/>
        <v>27763.9</v>
      </c>
      <c r="BN14" s="141">
        <f t="shared" si="25"/>
        <v>23851.91</v>
      </c>
      <c r="BP14" s="142">
        <f>ROUND((BJ14*BK14+BL14*BM14+BN14*BO14),2)</f>
        <v>0</v>
      </c>
      <c r="BQ14" s="141">
        <f t="shared" si="26"/>
        <v>29360.82</v>
      </c>
      <c r="BS14" s="141">
        <f t="shared" si="27"/>
        <v>36645.26</v>
      </c>
      <c r="BU14" s="141">
        <f t="shared" si="28"/>
        <v>34889.949999999997</v>
      </c>
      <c r="BW14" s="142">
        <f>ROUND((BQ14*BR14+BS14*BT14+BU14*BV14),2)</f>
        <v>0</v>
      </c>
      <c r="BY14" s="170"/>
      <c r="BZ14" s="170"/>
    </row>
    <row r="15" spans="1:78" s="106" customFormat="1" ht="16.5">
      <c r="A15" s="108" t="s">
        <v>387</v>
      </c>
      <c r="B15" s="139" t="s">
        <v>409</v>
      </c>
      <c r="C15" s="171" t="s">
        <v>410</v>
      </c>
      <c r="D15" s="141">
        <f t="shared" si="0"/>
        <v>31250.82</v>
      </c>
      <c r="E15" s="110">
        <v>202</v>
      </c>
      <c r="F15" s="141">
        <f t="shared" si="1"/>
        <v>38535.26</v>
      </c>
      <c r="G15" s="110">
        <v>254</v>
      </c>
      <c r="H15" s="141">
        <f t="shared" si="2"/>
        <v>36779.949999999997</v>
      </c>
      <c r="I15" s="110">
        <v>59</v>
      </c>
      <c r="J15" s="142">
        <f>ROUND((D15*E15+F15*G15+H15*I15),2)</f>
        <v>18270638.73</v>
      </c>
      <c r="K15" s="141">
        <f t="shared" si="3"/>
        <v>35546.49</v>
      </c>
      <c r="L15" s="101"/>
      <c r="M15" s="141">
        <f t="shared" si="4"/>
        <v>43923.6</v>
      </c>
      <c r="N15" s="101"/>
      <c r="O15" s="141">
        <f t="shared" si="5"/>
        <v>41904.99</v>
      </c>
      <c r="P15" s="101"/>
      <c r="Q15" s="142">
        <f>ROUND((K15*L15+M15*N15+O15*P15),2)</f>
        <v>0</v>
      </c>
      <c r="R15" s="141">
        <f t="shared" si="6"/>
        <v>41274.050000000003</v>
      </c>
      <c r="S15" s="100"/>
      <c r="T15" s="141">
        <f t="shared" si="7"/>
        <v>51108.05</v>
      </c>
      <c r="U15" s="100"/>
      <c r="V15" s="141">
        <f t="shared" si="8"/>
        <v>48738.38</v>
      </c>
      <c r="W15" s="103"/>
      <c r="X15" s="142">
        <f>ROUND((R15*S15+T15*U15+V15*W15),2)</f>
        <v>0</v>
      </c>
      <c r="Y15" s="141">
        <f t="shared" si="9"/>
        <v>45569.73</v>
      </c>
      <c r="Z15" s="100"/>
      <c r="AA15" s="141">
        <f t="shared" si="10"/>
        <v>56496.39</v>
      </c>
      <c r="AB15" s="100"/>
      <c r="AC15" s="142">
        <f>ROUND((Y15*Z15+AA15*AB15),2)</f>
        <v>0</v>
      </c>
      <c r="AD15" s="141">
        <f t="shared" si="11"/>
        <v>54161.08</v>
      </c>
      <c r="AE15" s="101"/>
      <c r="AF15" s="141">
        <f t="shared" si="12"/>
        <v>67273.100000000006</v>
      </c>
      <c r="AG15" s="101"/>
      <c r="AH15" s="141">
        <f t="shared" si="13"/>
        <v>64113.51</v>
      </c>
      <c r="AI15" s="101"/>
      <c r="AJ15" s="142">
        <f>ROUND((AD15*AE15+AF15*AG15+AH15*AI15),2)</f>
        <v>0</v>
      </c>
      <c r="AK15" s="141">
        <f t="shared" si="14"/>
        <v>29360.82</v>
      </c>
      <c r="AL15" s="101"/>
      <c r="AM15" s="141">
        <f t="shared" si="15"/>
        <v>36645.26</v>
      </c>
      <c r="AN15" s="101"/>
      <c r="AO15" s="141">
        <f t="shared" si="16"/>
        <v>34889.949999999997</v>
      </c>
      <c r="AP15" s="101"/>
      <c r="AQ15" s="142">
        <f>ROUND((AK15*AL15+AM15*AN15+AO15*AP15),2)</f>
        <v>0</v>
      </c>
      <c r="AR15" s="141">
        <f t="shared" si="17"/>
        <v>35718.379999999997</v>
      </c>
      <c r="AS15" s="104"/>
      <c r="AT15" s="142">
        <f>ROUND((AR15*AS15),2)</f>
        <v>0</v>
      </c>
      <c r="AU15" s="143">
        <f>AT15+AQ15+AJ15+AC15+X15+Q15+J15</f>
        <v>18270638.73</v>
      </c>
      <c r="AV15" s="105"/>
      <c r="AW15" s="141">
        <f t="shared" si="18"/>
        <v>65258.22</v>
      </c>
      <c r="AX15" s="102"/>
      <c r="AY15" s="141">
        <f t="shared" si="19"/>
        <v>81192.94</v>
      </c>
      <c r="AZ15" s="99"/>
      <c r="BA15" s="141">
        <f t="shared" si="20"/>
        <v>77353.2</v>
      </c>
      <c r="BB15" s="99"/>
      <c r="BC15" s="142">
        <f>ROUND((AW15*AX15+AY15*AZ15+BA15*BB15),2)</f>
        <v>0</v>
      </c>
      <c r="BD15" s="141">
        <f t="shared" si="21"/>
        <v>77787.27</v>
      </c>
      <c r="BE15" s="100"/>
      <c r="BF15" s="141">
        <f t="shared" si="22"/>
        <v>96908.93</v>
      </c>
      <c r="BG15" s="100"/>
      <c r="BH15" s="142">
        <f>ROUND((BD15*BE15+BF15*BG15),2)</f>
        <v>0</v>
      </c>
      <c r="BI15" s="144">
        <f>BH15+BC15</f>
        <v>0</v>
      </c>
      <c r="BJ15" s="141">
        <f t="shared" si="23"/>
        <v>25708.01</v>
      </c>
      <c r="BK15" s="100"/>
      <c r="BL15" s="141">
        <f t="shared" si="24"/>
        <v>27763.9</v>
      </c>
      <c r="BM15" s="100"/>
      <c r="BN15" s="141">
        <f t="shared" si="25"/>
        <v>23851.91</v>
      </c>
      <c r="BO15" s="100"/>
      <c r="BP15" s="142">
        <f>ROUND((BJ15*BK15+BL15*BM15+BN15*BO15),2)</f>
        <v>0</v>
      </c>
      <c r="BQ15" s="141">
        <f t="shared" si="26"/>
        <v>29360.82</v>
      </c>
      <c r="BR15" s="103"/>
      <c r="BS15" s="141">
        <f t="shared" si="27"/>
        <v>36645.26</v>
      </c>
      <c r="BT15" s="103"/>
      <c r="BU15" s="141">
        <f t="shared" si="28"/>
        <v>34889.949999999997</v>
      </c>
      <c r="BV15" s="103"/>
      <c r="BW15" s="142">
        <f>ROUND((BQ15*BR15+BS15*BT15+BU15*BV15),2)</f>
        <v>0</v>
      </c>
      <c r="BX15" s="145">
        <f>BV15+BT15+BR15+BO15+BM15+BK15+BG15+BE15+BB15+AZ15+AX15+AS15+AP15+AN15+AL15+AI15+AG15+AE15+AB15+Z15+W15+U15+S15+P15+N15+L15+I15+G15+E15</f>
        <v>515</v>
      </c>
      <c r="BY15" s="107"/>
      <c r="BZ15" s="107"/>
    </row>
    <row r="16" spans="1:78" s="106" customFormat="1" ht="16.5">
      <c r="A16" s="108"/>
      <c r="B16" s="172" t="s">
        <v>411</v>
      </c>
      <c r="C16" s="171" t="s">
        <v>412</v>
      </c>
      <c r="D16" s="141">
        <f t="shared" si="0"/>
        <v>31250.82</v>
      </c>
      <c r="E16" s="110"/>
      <c r="F16" s="141">
        <f t="shared" si="1"/>
        <v>38535.26</v>
      </c>
      <c r="G16" s="114"/>
      <c r="H16" s="141">
        <f t="shared" si="2"/>
        <v>36779.949999999997</v>
      </c>
      <c r="I16" s="114"/>
      <c r="J16" s="142">
        <f>ROUND((D16*E16+F16*G16+H16*I16),2)</f>
        <v>0</v>
      </c>
      <c r="K16" s="141">
        <f t="shared" si="3"/>
        <v>35546.49</v>
      </c>
      <c r="L16" s="101"/>
      <c r="M16" s="141">
        <f t="shared" si="4"/>
        <v>43923.6</v>
      </c>
      <c r="N16" s="101"/>
      <c r="O16" s="141">
        <f t="shared" si="5"/>
        <v>41904.99</v>
      </c>
      <c r="P16" s="101"/>
      <c r="Q16" s="142">
        <f>ROUND((K16*L16+M16*N16+O16*P16),2)</f>
        <v>0</v>
      </c>
      <c r="R16" s="141">
        <f t="shared" si="6"/>
        <v>41274.050000000003</v>
      </c>
      <c r="S16" s="100"/>
      <c r="T16" s="141">
        <f t="shared" si="7"/>
        <v>51108.05</v>
      </c>
      <c r="U16" s="100"/>
      <c r="V16" s="141">
        <f t="shared" si="8"/>
        <v>48738.38</v>
      </c>
      <c r="W16" s="103"/>
      <c r="X16" s="142">
        <f>ROUND((R16*S16+T16*U16+V16*W16),2)</f>
        <v>0</v>
      </c>
      <c r="Y16" s="141">
        <f t="shared" si="9"/>
        <v>45569.73</v>
      </c>
      <c r="Z16" s="100"/>
      <c r="AA16" s="141">
        <f t="shared" si="10"/>
        <v>56496.39</v>
      </c>
      <c r="AB16" s="100"/>
      <c r="AC16" s="142">
        <f>ROUND((Y16*Z16+AA16*AB16),2)</f>
        <v>0</v>
      </c>
      <c r="AD16" s="141">
        <f t="shared" si="11"/>
        <v>54161.08</v>
      </c>
      <c r="AE16" s="101"/>
      <c r="AF16" s="141">
        <f t="shared" si="12"/>
        <v>67273.100000000006</v>
      </c>
      <c r="AG16" s="101"/>
      <c r="AH16" s="141">
        <f t="shared" si="13"/>
        <v>64113.51</v>
      </c>
      <c r="AI16" s="101"/>
      <c r="AJ16" s="142">
        <f>ROUND((AD16*AE16+AF16*AG16+AH16*AI16),2)</f>
        <v>0</v>
      </c>
      <c r="AK16" s="141">
        <f t="shared" si="14"/>
        <v>29360.82</v>
      </c>
      <c r="AL16" s="101"/>
      <c r="AM16" s="141">
        <f t="shared" si="15"/>
        <v>36645.26</v>
      </c>
      <c r="AN16" s="101"/>
      <c r="AO16" s="141">
        <f t="shared" si="16"/>
        <v>34889.949999999997</v>
      </c>
      <c r="AP16" s="101"/>
      <c r="AQ16" s="142">
        <f>ROUND((AK16*AL16+AM16*AN16+AO16*AP16),2)</f>
        <v>0</v>
      </c>
      <c r="AR16" s="141">
        <f t="shared" si="17"/>
        <v>35718.379999999997</v>
      </c>
      <c r="AS16" s="104"/>
      <c r="AT16" s="142">
        <f>ROUND((AR16*AS16),2)</f>
        <v>0</v>
      </c>
      <c r="AU16" s="143">
        <f>AT16+AQ16+AJ16+AC16+X16+Q16+J16</f>
        <v>0</v>
      </c>
      <c r="AV16" s="105"/>
      <c r="AW16" s="141">
        <f t="shared" si="18"/>
        <v>65258.22</v>
      </c>
      <c r="AX16" s="102"/>
      <c r="AY16" s="141">
        <f t="shared" si="19"/>
        <v>81192.94</v>
      </c>
      <c r="AZ16" s="102"/>
      <c r="BA16" s="141">
        <f t="shared" si="20"/>
        <v>77353.2</v>
      </c>
      <c r="BB16" s="102"/>
      <c r="BC16" s="142">
        <f>ROUND((AW16*AX16+AY16*AZ16+BA16*BB16),2)</f>
        <v>0</v>
      </c>
      <c r="BD16" s="141">
        <f t="shared" si="21"/>
        <v>77787.27</v>
      </c>
      <c r="BE16" s="100"/>
      <c r="BF16" s="141">
        <f t="shared" si="22"/>
        <v>96908.93</v>
      </c>
      <c r="BG16" s="100"/>
      <c r="BH16" s="142">
        <f>ROUND((BD16*BE16+BF16*BG16),2)</f>
        <v>0</v>
      </c>
      <c r="BI16" s="144">
        <f>BH16+BC16</f>
        <v>0</v>
      </c>
      <c r="BJ16" s="141">
        <f t="shared" si="23"/>
        <v>25708.01</v>
      </c>
      <c r="BK16" s="100"/>
      <c r="BL16" s="141">
        <f t="shared" si="24"/>
        <v>27763.9</v>
      </c>
      <c r="BM16" s="100"/>
      <c r="BN16" s="141">
        <f t="shared" si="25"/>
        <v>23851.91</v>
      </c>
      <c r="BO16" s="100"/>
      <c r="BP16" s="142">
        <f>ROUND((BJ16*BK16+BL16*BM16+BN16*BO16),2)</f>
        <v>0</v>
      </c>
      <c r="BQ16" s="141">
        <f t="shared" si="26"/>
        <v>29360.82</v>
      </c>
      <c r="BR16" s="103"/>
      <c r="BS16" s="141">
        <f t="shared" si="27"/>
        <v>36645.26</v>
      </c>
      <c r="BT16" s="103"/>
      <c r="BU16" s="141">
        <f t="shared" si="28"/>
        <v>34889.949999999997</v>
      </c>
      <c r="BV16" s="103"/>
      <c r="BW16" s="142">
        <f>ROUND((BQ16*BR16+BS16*BT16+BU16*BV16),2)</f>
        <v>0</v>
      </c>
      <c r="BX16" s="145">
        <f>BV16+BT16+BR16+BO16+BM16+BK16+BG16+BE16+BB16+AZ16+AX16+AS16+AP16+AN16+AL16+AI16+AG16+AE16+AB16+Z16+W16+U16+S16+P16+N16+L16+I16+G16+E16</f>
        <v>0</v>
      </c>
      <c r="BY16" s="107"/>
      <c r="BZ16" s="107"/>
    </row>
    <row r="17" spans="1:78" s="159" customFormat="1" ht="16.5">
      <c r="A17" s="173"/>
      <c r="B17" s="174" t="s">
        <v>413</v>
      </c>
      <c r="C17" s="175"/>
      <c r="D17" s="141">
        <f t="shared" si="0"/>
        <v>31250.82</v>
      </c>
      <c r="E17" s="156">
        <f t="shared" ref="E17:BO17" si="31">E16+E15</f>
        <v>202</v>
      </c>
      <c r="F17" s="141">
        <f t="shared" si="1"/>
        <v>38535.26</v>
      </c>
      <c r="G17" s="156">
        <f t="shared" si="31"/>
        <v>254</v>
      </c>
      <c r="H17" s="141">
        <f t="shared" si="2"/>
        <v>36779.949999999997</v>
      </c>
      <c r="I17" s="156">
        <f t="shared" si="31"/>
        <v>59</v>
      </c>
      <c r="J17" s="156">
        <f t="shared" si="31"/>
        <v>18270638.73</v>
      </c>
      <c r="K17" s="141">
        <f t="shared" si="3"/>
        <v>35546.49</v>
      </c>
      <c r="L17" s="156">
        <f t="shared" si="31"/>
        <v>0</v>
      </c>
      <c r="M17" s="141">
        <f t="shared" si="4"/>
        <v>43923.6</v>
      </c>
      <c r="N17" s="156">
        <f t="shared" si="31"/>
        <v>0</v>
      </c>
      <c r="O17" s="141">
        <f t="shared" si="5"/>
        <v>41904.99</v>
      </c>
      <c r="P17" s="156">
        <f t="shared" si="31"/>
        <v>0</v>
      </c>
      <c r="Q17" s="156">
        <f>Q16+Q15</f>
        <v>0</v>
      </c>
      <c r="R17" s="141">
        <f t="shared" si="6"/>
        <v>41274.050000000003</v>
      </c>
      <c r="S17" s="156">
        <f t="shared" si="31"/>
        <v>0</v>
      </c>
      <c r="T17" s="141">
        <f t="shared" si="7"/>
        <v>51108.05</v>
      </c>
      <c r="U17" s="156">
        <f t="shared" si="31"/>
        <v>0</v>
      </c>
      <c r="V17" s="141">
        <f t="shared" si="8"/>
        <v>48738.38</v>
      </c>
      <c r="W17" s="156">
        <f t="shared" si="31"/>
        <v>0</v>
      </c>
      <c r="X17" s="156">
        <f>X16+X15</f>
        <v>0</v>
      </c>
      <c r="Y17" s="141">
        <f t="shared" si="9"/>
        <v>45569.73</v>
      </c>
      <c r="Z17" s="156">
        <f t="shared" si="31"/>
        <v>0</v>
      </c>
      <c r="AA17" s="141">
        <f t="shared" si="10"/>
        <v>56496.39</v>
      </c>
      <c r="AB17" s="156">
        <f t="shared" si="31"/>
        <v>0</v>
      </c>
      <c r="AC17" s="156">
        <f t="shared" si="31"/>
        <v>0</v>
      </c>
      <c r="AD17" s="141">
        <f t="shared" si="11"/>
        <v>54161.08</v>
      </c>
      <c r="AE17" s="156">
        <f t="shared" si="31"/>
        <v>0</v>
      </c>
      <c r="AF17" s="141">
        <f t="shared" si="12"/>
        <v>67273.100000000006</v>
      </c>
      <c r="AG17" s="156">
        <f t="shared" si="31"/>
        <v>0</v>
      </c>
      <c r="AH17" s="141">
        <f t="shared" si="13"/>
        <v>64113.51</v>
      </c>
      <c r="AI17" s="156">
        <f t="shared" si="31"/>
        <v>0</v>
      </c>
      <c r="AJ17" s="156">
        <f>AJ16+AJ15</f>
        <v>0</v>
      </c>
      <c r="AK17" s="141">
        <f t="shared" si="14"/>
        <v>29360.82</v>
      </c>
      <c r="AL17" s="156">
        <f t="shared" si="31"/>
        <v>0</v>
      </c>
      <c r="AM17" s="141">
        <f t="shared" si="15"/>
        <v>36645.26</v>
      </c>
      <c r="AN17" s="156">
        <f t="shared" si="31"/>
        <v>0</v>
      </c>
      <c r="AO17" s="141">
        <f t="shared" si="16"/>
        <v>34889.949999999997</v>
      </c>
      <c r="AP17" s="156">
        <f t="shared" si="31"/>
        <v>0</v>
      </c>
      <c r="AQ17" s="156">
        <f>AQ16+AQ15</f>
        <v>0</v>
      </c>
      <c r="AR17" s="141">
        <f t="shared" si="17"/>
        <v>35718.379999999997</v>
      </c>
      <c r="AS17" s="156">
        <f>AS16+AS15</f>
        <v>0</v>
      </c>
      <c r="AT17" s="156">
        <f t="shared" si="31"/>
        <v>0</v>
      </c>
      <c r="AU17" s="1059">
        <f t="shared" si="31"/>
        <v>18270638.73</v>
      </c>
      <c r="AV17" s="156">
        <f t="shared" si="31"/>
        <v>0</v>
      </c>
      <c r="AW17" s="141">
        <f t="shared" si="18"/>
        <v>65258.22</v>
      </c>
      <c r="AX17" s="156">
        <f t="shared" si="31"/>
        <v>0</v>
      </c>
      <c r="AY17" s="141">
        <f t="shared" si="19"/>
        <v>81192.94</v>
      </c>
      <c r="AZ17" s="156">
        <f t="shared" si="31"/>
        <v>0</v>
      </c>
      <c r="BA17" s="141">
        <f t="shared" si="20"/>
        <v>77353.2</v>
      </c>
      <c r="BB17" s="156">
        <f t="shared" si="31"/>
        <v>0</v>
      </c>
      <c r="BC17" s="156">
        <f>BC16+BC15</f>
        <v>0</v>
      </c>
      <c r="BD17" s="141">
        <f t="shared" si="21"/>
        <v>77787.27</v>
      </c>
      <c r="BE17" s="156">
        <f t="shared" si="31"/>
        <v>0</v>
      </c>
      <c r="BF17" s="141">
        <f t="shared" si="22"/>
        <v>96908.93</v>
      </c>
      <c r="BG17" s="156">
        <f t="shared" si="31"/>
        <v>0</v>
      </c>
      <c r="BH17" s="156">
        <f t="shared" si="31"/>
        <v>0</v>
      </c>
      <c r="BI17" s="156">
        <f t="shared" si="31"/>
        <v>0</v>
      </c>
      <c r="BJ17" s="141">
        <f t="shared" si="23"/>
        <v>25708.01</v>
      </c>
      <c r="BK17" s="156">
        <f t="shared" si="31"/>
        <v>0</v>
      </c>
      <c r="BL17" s="141">
        <f t="shared" si="24"/>
        <v>27763.9</v>
      </c>
      <c r="BM17" s="156">
        <f t="shared" si="31"/>
        <v>0</v>
      </c>
      <c r="BN17" s="141">
        <f t="shared" si="25"/>
        <v>23851.91</v>
      </c>
      <c r="BO17" s="156">
        <f t="shared" si="31"/>
        <v>0</v>
      </c>
      <c r="BP17" s="156">
        <f>BP16+BP15</f>
        <v>0</v>
      </c>
      <c r="BQ17" s="141">
        <f t="shared" si="26"/>
        <v>29360.82</v>
      </c>
      <c r="BR17" s="156">
        <f t="shared" ref="BR17:BX17" si="32">BR16+BR15</f>
        <v>0</v>
      </c>
      <c r="BS17" s="141">
        <f t="shared" si="27"/>
        <v>36645.26</v>
      </c>
      <c r="BT17" s="156">
        <f t="shared" si="32"/>
        <v>0</v>
      </c>
      <c r="BU17" s="141">
        <f t="shared" si="28"/>
        <v>34889.949999999997</v>
      </c>
      <c r="BV17" s="156">
        <f t="shared" si="32"/>
        <v>0</v>
      </c>
      <c r="BW17" s="156">
        <f t="shared" si="32"/>
        <v>0</v>
      </c>
      <c r="BX17" s="176">
        <f t="shared" si="32"/>
        <v>515</v>
      </c>
      <c r="BY17" s="158"/>
      <c r="BZ17" s="158"/>
    </row>
    <row r="18" spans="1:78" ht="18.75">
      <c r="A18" s="160"/>
      <c r="B18" s="161" t="s">
        <v>414</v>
      </c>
      <c r="C18" s="162"/>
      <c r="D18" s="141">
        <f t="shared" si="0"/>
        <v>31250.82</v>
      </c>
      <c r="E18" s="163">
        <f>E17</f>
        <v>202</v>
      </c>
      <c r="F18" s="141">
        <f t="shared" si="1"/>
        <v>38535.26</v>
      </c>
      <c r="G18" s="163">
        <f>G17</f>
        <v>254</v>
      </c>
      <c r="H18" s="141">
        <f t="shared" si="2"/>
        <v>36779.949999999997</v>
      </c>
      <c r="I18" s="163">
        <f>I17</f>
        <v>59</v>
      </c>
      <c r="J18" s="163">
        <f>J17</f>
        <v>18270638.73</v>
      </c>
      <c r="K18" s="141">
        <f t="shared" si="3"/>
        <v>35546.49</v>
      </c>
      <c r="L18" s="163">
        <f>L17</f>
        <v>0</v>
      </c>
      <c r="M18" s="141">
        <f t="shared" si="4"/>
        <v>43923.6</v>
      </c>
      <c r="N18" s="163">
        <f>N17</f>
        <v>0</v>
      </c>
      <c r="O18" s="141">
        <f t="shared" si="5"/>
        <v>41904.99</v>
      </c>
      <c r="P18" s="163">
        <f>P17</f>
        <v>0</v>
      </c>
      <c r="Q18" s="163">
        <f>Q17</f>
        <v>0</v>
      </c>
      <c r="R18" s="141">
        <f t="shared" si="6"/>
        <v>41274.050000000003</v>
      </c>
      <c r="S18" s="163">
        <f>S17</f>
        <v>0</v>
      </c>
      <c r="T18" s="141">
        <f t="shared" si="7"/>
        <v>51108.05</v>
      </c>
      <c r="U18" s="163">
        <f>U17</f>
        <v>0</v>
      </c>
      <c r="V18" s="141">
        <f t="shared" si="8"/>
        <v>48738.38</v>
      </c>
      <c r="W18" s="163">
        <f>W17</f>
        <v>0</v>
      </c>
      <c r="X18" s="163">
        <f>X17</f>
        <v>0</v>
      </c>
      <c r="Y18" s="141">
        <f t="shared" si="9"/>
        <v>45569.73</v>
      </c>
      <c r="Z18" s="163">
        <f>Z17</f>
        <v>0</v>
      </c>
      <c r="AA18" s="141">
        <f t="shared" si="10"/>
        <v>56496.39</v>
      </c>
      <c r="AB18" s="163">
        <f>AB17</f>
        <v>0</v>
      </c>
      <c r="AC18" s="163">
        <f>AC17</f>
        <v>0</v>
      </c>
      <c r="AD18" s="141">
        <f t="shared" si="11"/>
        <v>54161.08</v>
      </c>
      <c r="AE18" s="163">
        <f>AE17</f>
        <v>0</v>
      </c>
      <c r="AF18" s="141">
        <f t="shared" si="12"/>
        <v>67273.100000000006</v>
      </c>
      <c r="AG18" s="163">
        <f>AG17</f>
        <v>0</v>
      </c>
      <c r="AH18" s="141">
        <f t="shared" si="13"/>
        <v>64113.51</v>
      </c>
      <c r="AI18" s="163">
        <f>AI17</f>
        <v>0</v>
      </c>
      <c r="AJ18" s="163">
        <f>AJ17</f>
        <v>0</v>
      </c>
      <c r="AK18" s="141">
        <f t="shared" si="14"/>
        <v>29360.82</v>
      </c>
      <c r="AL18" s="163">
        <f>AL17</f>
        <v>0</v>
      </c>
      <c r="AM18" s="141">
        <f t="shared" si="15"/>
        <v>36645.26</v>
      </c>
      <c r="AN18" s="163">
        <f>AN17</f>
        <v>0</v>
      </c>
      <c r="AO18" s="141">
        <f t="shared" si="16"/>
        <v>34889.949999999997</v>
      </c>
      <c r="AP18" s="163">
        <f>AP17</f>
        <v>0</v>
      </c>
      <c r="AQ18" s="163">
        <f>AQ17</f>
        <v>0</v>
      </c>
      <c r="AR18" s="141">
        <f t="shared" si="17"/>
        <v>35718.379999999997</v>
      </c>
      <c r="AS18" s="163">
        <f>AS17</f>
        <v>0</v>
      </c>
      <c r="AT18" s="163">
        <f>AT17</f>
        <v>0</v>
      </c>
      <c r="AU18" s="382">
        <f>AU17</f>
        <v>18270638.73</v>
      </c>
      <c r="AV18" s="163">
        <f>'старое не смотреть'!D24</f>
        <v>26909579.84</v>
      </c>
      <c r="AW18" s="141">
        <f t="shared" si="18"/>
        <v>65258.22</v>
      </c>
      <c r="AX18" s="163">
        <f>AX17</f>
        <v>0</v>
      </c>
      <c r="AY18" s="141">
        <f t="shared" si="19"/>
        <v>81192.94</v>
      </c>
      <c r="AZ18" s="163">
        <f>AZ17</f>
        <v>0</v>
      </c>
      <c r="BA18" s="141">
        <f t="shared" si="20"/>
        <v>77353.2</v>
      </c>
      <c r="BB18" s="163">
        <f>BB17</f>
        <v>0</v>
      </c>
      <c r="BC18" s="163">
        <f>BC17</f>
        <v>0</v>
      </c>
      <c r="BD18" s="141">
        <f t="shared" si="21"/>
        <v>77787.27</v>
      </c>
      <c r="BE18" s="163">
        <f>BE17</f>
        <v>0</v>
      </c>
      <c r="BF18" s="141">
        <f t="shared" si="22"/>
        <v>96908.93</v>
      </c>
      <c r="BG18" s="163">
        <f>BG17</f>
        <v>0</v>
      </c>
      <c r="BH18" s="163">
        <f>BH17</f>
        <v>0</v>
      </c>
      <c r="BI18" s="163">
        <f>BI17</f>
        <v>0</v>
      </c>
      <c r="BJ18" s="141">
        <f t="shared" si="23"/>
        <v>25708.01</v>
      </c>
      <c r="BK18" s="163">
        <f>BK17</f>
        <v>0</v>
      </c>
      <c r="BL18" s="141">
        <f t="shared" si="24"/>
        <v>27763.9</v>
      </c>
      <c r="BM18" s="163">
        <f>BM17</f>
        <v>0</v>
      </c>
      <c r="BN18" s="141">
        <f t="shared" si="25"/>
        <v>23851.91</v>
      </c>
      <c r="BO18" s="163">
        <f>BO17</f>
        <v>0</v>
      </c>
      <c r="BP18" s="163">
        <f>BP17</f>
        <v>0</v>
      </c>
      <c r="BQ18" s="141">
        <f t="shared" si="26"/>
        <v>29360.82</v>
      </c>
      <c r="BR18" s="163">
        <f t="shared" ref="BR18:BX18" si="33">BR17</f>
        <v>0</v>
      </c>
      <c r="BS18" s="141">
        <f t="shared" si="27"/>
        <v>36645.26</v>
      </c>
      <c r="BT18" s="163">
        <f t="shared" si="33"/>
        <v>0</v>
      </c>
      <c r="BU18" s="141">
        <f t="shared" si="28"/>
        <v>34889.949999999997</v>
      </c>
      <c r="BV18" s="163">
        <f t="shared" si="33"/>
        <v>0</v>
      </c>
      <c r="BW18" s="163">
        <f t="shared" si="33"/>
        <v>0</v>
      </c>
      <c r="BX18" s="165">
        <f t="shared" si="33"/>
        <v>515</v>
      </c>
      <c r="BY18" s="166">
        <f>ROUND((AU18*AV12+BI18+BP18+BW18),2)</f>
        <v>0</v>
      </c>
      <c r="BZ18" s="178"/>
    </row>
    <row r="19" spans="1:78" ht="15.75">
      <c r="A19" s="1634" t="s">
        <v>85</v>
      </c>
      <c r="B19" s="1635"/>
      <c r="C19" s="1636"/>
      <c r="D19" s="141">
        <f t="shared" ref="D19:D71" si="34">D20</f>
        <v>31250.82</v>
      </c>
      <c r="F19" s="141">
        <f t="shared" ref="F19:F71" si="35">F20</f>
        <v>38535.26</v>
      </c>
      <c r="H19" s="141">
        <f t="shared" ref="H19:H71" si="36">H20</f>
        <v>36779.949999999997</v>
      </c>
      <c r="K19" s="141">
        <f t="shared" ref="K19:K71" si="37">K20</f>
        <v>35546.49</v>
      </c>
      <c r="M19" s="141">
        <f t="shared" ref="M19:M71" si="38">M20</f>
        <v>43923.6</v>
      </c>
      <c r="O19" s="141">
        <f t="shared" ref="O19:O71" si="39">O20</f>
        <v>41904.99</v>
      </c>
      <c r="R19" s="141">
        <f t="shared" ref="R19:R71" si="40">R20</f>
        <v>41274.050000000003</v>
      </c>
      <c r="T19" s="141">
        <f t="shared" ref="T19:T71" si="41">T20</f>
        <v>51108.05</v>
      </c>
      <c r="V19" s="141">
        <f t="shared" ref="V19:V71" si="42">V20</f>
        <v>48738.38</v>
      </c>
      <c r="Y19" s="141">
        <f t="shared" ref="Y19:Y71" si="43">Y20</f>
        <v>45569.73</v>
      </c>
      <c r="AA19" s="141">
        <f t="shared" ref="AA19:AA71" si="44">AA20</f>
        <v>56496.39</v>
      </c>
      <c r="AD19" s="141">
        <f t="shared" ref="AD19:AD71" si="45">AD20</f>
        <v>54161.08</v>
      </c>
      <c r="AF19" s="141">
        <f t="shared" ref="AF19:AF71" si="46">AF20</f>
        <v>67273.100000000006</v>
      </c>
      <c r="AH19" s="141">
        <f t="shared" ref="AH19:AH71" si="47">AH20</f>
        <v>64113.51</v>
      </c>
      <c r="AK19" s="141">
        <f t="shared" ref="AK19:AK71" si="48">AK20</f>
        <v>29360.82</v>
      </c>
      <c r="AM19" s="141">
        <f t="shared" ref="AM19:AM71" si="49">AM20</f>
        <v>36645.26</v>
      </c>
      <c r="AO19" s="141">
        <f t="shared" ref="AO19:AO71" si="50">AO20</f>
        <v>34889.949999999997</v>
      </c>
      <c r="AR19" s="141">
        <f t="shared" ref="AR19:AR71" si="51">AR20</f>
        <v>35718.379999999997</v>
      </c>
      <c r="AW19" s="141">
        <f t="shared" ref="AW19:AW71" si="52">AW20</f>
        <v>65258.22</v>
      </c>
      <c r="AY19" s="141">
        <f t="shared" ref="AY19:AY71" si="53">AY20</f>
        <v>81192.94</v>
      </c>
      <c r="BA19" s="141">
        <f t="shared" ref="BA19:BA71" si="54">BA20</f>
        <v>77353.2</v>
      </c>
      <c r="BD19" s="141">
        <f t="shared" ref="BD19:BD71" si="55">BD20</f>
        <v>77787.27</v>
      </c>
      <c r="BF19" s="141">
        <f t="shared" ref="BF19:BF71" si="56">BF20</f>
        <v>96908.93</v>
      </c>
      <c r="BJ19" s="141">
        <f t="shared" ref="BJ19:BJ71" si="57">BJ20</f>
        <v>25708.01</v>
      </c>
      <c r="BL19" s="141">
        <f t="shared" ref="BL19:BL71" si="58">BL20</f>
        <v>27763.9</v>
      </c>
      <c r="BN19" s="141">
        <f t="shared" ref="BN19:BN71" si="59">BN20</f>
        <v>23851.91</v>
      </c>
      <c r="BQ19" s="141">
        <f t="shared" ref="BQ19:BQ71" si="60">BQ20</f>
        <v>29360.82</v>
      </c>
      <c r="BS19" s="141">
        <f t="shared" ref="BS19:BS71" si="61">BS20</f>
        <v>36645.26</v>
      </c>
      <c r="BU19" s="141">
        <f t="shared" ref="BU19:BU71" si="62">BU20</f>
        <v>34889.949999999997</v>
      </c>
      <c r="BY19" s="178"/>
      <c r="BZ19" s="178"/>
    </row>
    <row r="20" spans="1:78" ht="16.5">
      <c r="A20" s="179"/>
      <c r="B20" s="162" t="s">
        <v>415</v>
      </c>
      <c r="C20" s="180"/>
      <c r="D20" s="141">
        <f t="shared" si="34"/>
        <v>31250.82</v>
      </c>
      <c r="E20" s="177">
        <v>0</v>
      </c>
      <c r="F20" s="141">
        <f t="shared" si="35"/>
        <v>38535.26</v>
      </c>
      <c r="G20" s="177">
        <v>0</v>
      </c>
      <c r="H20" s="141">
        <f t="shared" si="36"/>
        <v>36779.949999999997</v>
      </c>
      <c r="I20" s="177">
        <v>0</v>
      </c>
      <c r="J20" s="177">
        <v>0</v>
      </c>
      <c r="K20" s="141">
        <f t="shared" si="37"/>
        <v>35546.49</v>
      </c>
      <c r="L20" s="177">
        <v>0</v>
      </c>
      <c r="M20" s="141">
        <f t="shared" si="38"/>
        <v>43923.6</v>
      </c>
      <c r="N20" s="177">
        <v>0</v>
      </c>
      <c r="O20" s="141">
        <f t="shared" si="39"/>
        <v>41904.99</v>
      </c>
      <c r="P20" s="177">
        <v>0</v>
      </c>
      <c r="Q20" s="177">
        <v>0</v>
      </c>
      <c r="R20" s="141">
        <f t="shared" si="40"/>
        <v>41274.050000000003</v>
      </c>
      <c r="S20" s="177">
        <v>0</v>
      </c>
      <c r="T20" s="141">
        <f t="shared" si="41"/>
        <v>51108.05</v>
      </c>
      <c r="U20" s="177">
        <v>0</v>
      </c>
      <c r="V20" s="141">
        <f t="shared" si="42"/>
        <v>48738.38</v>
      </c>
      <c r="W20" s="177">
        <v>0</v>
      </c>
      <c r="X20" s="177">
        <v>0</v>
      </c>
      <c r="Y20" s="141">
        <f t="shared" si="43"/>
        <v>45569.73</v>
      </c>
      <c r="Z20" s="177">
        <v>0</v>
      </c>
      <c r="AA20" s="141">
        <f t="shared" si="44"/>
        <v>56496.39</v>
      </c>
      <c r="AB20" s="177">
        <v>0</v>
      </c>
      <c r="AC20" s="177">
        <v>0</v>
      </c>
      <c r="AD20" s="141">
        <f t="shared" si="45"/>
        <v>54161.08</v>
      </c>
      <c r="AE20" s="177">
        <v>0</v>
      </c>
      <c r="AF20" s="141">
        <f t="shared" si="46"/>
        <v>67273.100000000006</v>
      </c>
      <c r="AG20" s="177">
        <v>0</v>
      </c>
      <c r="AH20" s="141">
        <f t="shared" si="47"/>
        <v>64113.51</v>
      </c>
      <c r="AI20" s="177">
        <v>0</v>
      </c>
      <c r="AJ20" s="177">
        <v>0</v>
      </c>
      <c r="AK20" s="141">
        <f t="shared" si="48"/>
        <v>29360.82</v>
      </c>
      <c r="AL20" s="177">
        <v>0</v>
      </c>
      <c r="AM20" s="141">
        <f t="shared" si="49"/>
        <v>36645.26</v>
      </c>
      <c r="AN20" s="177">
        <v>0</v>
      </c>
      <c r="AO20" s="141">
        <f t="shared" si="50"/>
        <v>34889.949999999997</v>
      </c>
      <c r="AP20" s="177">
        <v>0</v>
      </c>
      <c r="AQ20" s="177">
        <v>0</v>
      </c>
      <c r="AR20" s="141">
        <f t="shared" si="51"/>
        <v>35718.379999999997</v>
      </c>
      <c r="AS20" s="177">
        <v>0</v>
      </c>
      <c r="AT20" s="177">
        <v>0</v>
      </c>
      <c r="AU20" s="382">
        <v>0</v>
      </c>
      <c r="AV20" s="177">
        <v>0</v>
      </c>
      <c r="AW20" s="141">
        <f t="shared" si="52"/>
        <v>65258.22</v>
      </c>
      <c r="AX20" s="177">
        <v>0</v>
      </c>
      <c r="AY20" s="141">
        <f t="shared" si="53"/>
        <v>81192.94</v>
      </c>
      <c r="AZ20" s="177">
        <v>0</v>
      </c>
      <c r="BA20" s="141">
        <f t="shared" si="54"/>
        <v>77353.2</v>
      </c>
      <c r="BB20" s="177">
        <v>0</v>
      </c>
      <c r="BC20" s="177">
        <v>0</v>
      </c>
      <c r="BD20" s="141">
        <f t="shared" si="55"/>
        <v>77787.27</v>
      </c>
      <c r="BE20" s="177">
        <v>0</v>
      </c>
      <c r="BF20" s="141">
        <f t="shared" si="56"/>
        <v>96908.93</v>
      </c>
      <c r="BG20" s="177">
        <v>0</v>
      </c>
      <c r="BH20" s="177">
        <v>0</v>
      </c>
      <c r="BI20" s="177">
        <v>0</v>
      </c>
      <c r="BJ20" s="141">
        <f t="shared" si="57"/>
        <v>25708.01</v>
      </c>
      <c r="BK20" s="177">
        <v>0</v>
      </c>
      <c r="BL20" s="141">
        <f t="shared" si="58"/>
        <v>27763.9</v>
      </c>
      <c r="BM20" s="177">
        <v>0</v>
      </c>
      <c r="BN20" s="141">
        <f t="shared" si="59"/>
        <v>23851.91</v>
      </c>
      <c r="BO20" s="177">
        <v>0</v>
      </c>
      <c r="BP20" s="177">
        <v>0</v>
      </c>
      <c r="BQ20" s="141">
        <f t="shared" si="60"/>
        <v>29360.82</v>
      </c>
      <c r="BR20" s="177">
        <v>0</v>
      </c>
      <c r="BS20" s="141">
        <f t="shared" si="61"/>
        <v>36645.26</v>
      </c>
      <c r="BT20" s="177">
        <v>0</v>
      </c>
      <c r="BU20" s="141">
        <f t="shared" si="62"/>
        <v>34889.949999999997</v>
      </c>
      <c r="BV20" s="177">
        <v>0</v>
      </c>
      <c r="BW20" s="177">
        <v>0</v>
      </c>
      <c r="BX20" s="181">
        <v>0</v>
      </c>
      <c r="BY20" s="178"/>
      <c r="BZ20" s="178"/>
    </row>
    <row r="21" spans="1:78" ht="18.75">
      <c r="A21" s="1631" t="s">
        <v>86</v>
      </c>
      <c r="B21" s="1632"/>
      <c r="C21" s="1633"/>
      <c r="D21" s="141">
        <f t="shared" si="34"/>
        <v>31250.82</v>
      </c>
      <c r="F21" s="141">
        <f t="shared" si="35"/>
        <v>38535.26</v>
      </c>
      <c r="H21" s="141">
        <f t="shared" si="36"/>
        <v>36779.949999999997</v>
      </c>
      <c r="K21" s="141">
        <f t="shared" si="37"/>
        <v>35546.49</v>
      </c>
      <c r="M21" s="141">
        <f t="shared" si="38"/>
        <v>43923.6</v>
      </c>
      <c r="O21" s="141">
        <f t="shared" si="39"/>
        <v>41904.99</v>
      </c>
      <c r="R21" s="141">
        <f t="shared" si="40"/>
        <v>41274.050000000003</v>
      </c>
      <c r="T21" s="141">
        <f t="shared" si="41"/>
        <v>51108.05</v>
      </c>
      <c r="V21" s="141">
        <f t="shared" si="42"/>
        <v>48738.38</v>
      </c>
      <c r="Y21" s="141">
        <f t="shared" si="43"/>
        <v>45569.73</v>
      </c>
      <c r="AA21" s="141">
        <f t="shared" si="44"/>
        <v>56496.39</v>
      </c>
      <c r="AD21" s="141">
        <f t="shared" si="45"/>
        <v>54161.08</v>
      </c>
      <c r="AF21" s="141">
        <f t="shared" si="46"/>
        <v>67273.100000000006</v>
      </c>
      <c r="AH21" s="141">
        <f t="shared" si="47"/>
        <v>64113.51</v>
      </c>
      <c r="AK21" s="141">
        <f t="shared" si="48"/>
        <v>29360.82</v>
      </c>
      <c r="AM21" s="141">
        <f t="shared" si="49"/>
        <v>36645.26</v>
      </c>
      <c r="AO21" s="141">
        <f t="shared" si="50"/>
        <v>34889.949999999997</v>
      </c>
      <c r="AR21" s="141">
        <f t="shared" si="51"/>
        <v>35718.379999999997</v>
      </c>
      <c r="AV21" s="182">
        <f>ROUND(AV23/AU23,3)</f>
        <v>1.167</v>
      </c>
      <c r="AW21" s="141">
        <f t="shared" si="52"/>
        <v>65258.22</v>
      </c>
      <c r="AY21" s="141">
        <f t="shared" si="53"/>
        <v>81192.94</v>
      </c>
      <c r="BA21" s="141">
        <f t="shared" si="54"/>
        <v>77353.2</v>
      </c>
      <c r="BD21" s="141">
        <f t="shared" si="55"/>
        <v>77787.27</v>
      </c>
      <c r="BF21" s="141">
        <f t="shared" si="56"/>
        <v>96908.93</v>
      </c>
      <c r="BJ21" s="141">
        <f t="shared" si="57"/>
        <v>25708.01</v>
      </c>
      <c r="BL21" s="141">
        <f t="shared" si="58"/>
        <v>27763.9</v>
      </c>
      <c r="BN21" s="141">
        <f t="shared" si="59"/>
        <v>23851.91</v>
      </c>
      <c r="BQ21" s="141">
        <f t="shared" si="60"/>
        <v>29360.82</v>
      </c>
      <c r="BS21" s="141">
        <f t="shared" si="61"/>
        <v>36645.26</v>
      </c>
      <c r="BU21" s="141">
        <f t="shared" si="62"/>
        <v>34889.949999999997</v>
      </c>
      <c r="BY21" s="178"/>
      <c r="BZ21" s="178"/>
    </row>
    <row r="22" spans="1:78" s="106" customFormat="1" ht="16.5">
      <c r="A22" s="95" t="s">
        <v>387</v>
      </c>
      <c r="B22" s="96" t="s">
        <v>416</v>
      </c>
      <c r="C22" s="97" t="s">
        <v>388</v>
      </c>
      <c r="D22" s="141">
        <f t="shared" si="34"/>
        <v>31250.82</v>
      </c>
      <c r="E22" s="98">
        <v>178</v>
      </c>
      <c r="F22" s="141">
        <f t="shared" si="35"/>
        <v>38535.26</v>
      </c>
      <c r="G22" s="98">
        <v>251</v>
      </c>
      <c r="H22" s="141">
        <f t="shared" si="36"/>
        <v>36779.949999999997</v>
      </c>
      <c r="I22" s="98">
        <v>40</v>
      </c>
      <c r="J22" s="142">
        <f>ROUND((D22*E22+F22*G22+H22*I22),2)</f>
        <v>16706194.220000001</v>
      </c>
      <c r="K22" s="141">
        <f t="shared" si="37"/>
        <v>35546.49</v>
      </c>
      <c r="L22" s="101"/>
      <c r="M22" s="141">
        <f t="shared" si="38"/>
        <v>43923.6</v>
      </c>
      <c r="N22" s="101"/>
      <c r="O22" s="141">
        <f t="shared" si="39"/>
        <v>41904.99</v>
      </c>
      <c r="P22" s="101"/>
      <c r="Q22" s="142">
        <f>ROUND((K22*L22+M22*N22+O22*P22),2)</f>
        <v>0</v>
      </c>
      <c r="R22" s="141">
        <f t="shared" si="40"/>
        <v>41274.050000000003</v>
      </c>
      <c r="S22" s="100"/>
      <c r="T22" s="141">
        <f t="shared" si="41"/>
        <v>51108.05</v>
      </c>
      <c r="U22" s="100"/>
      <c r="V22" s="141">
        <f t="shared" si="42"/>
        <v>48738.38</v>
      </c>
      <c r="W22" s="103"/>
      <c r="X22" s="142">
        <f>ROUND((R22*S22+T22*U22+V22*W22),2)</f>
        <v>0</v>
      </c>
      <c r="Y22" s="141">
        <f t="shared" si="43"/>
        <v>45569.73</v>
      </c>
      <c r="Z22" s="100"/>
      <c r="AA22" s="141">
        <f t="shared" si="44"/>
        <v>56496.39</v>
      </c>
      <c r="AB22" s="100"/>
      <c r="AC22" s="142">
        <f>ROUND((Y22*Z22+AA22*AB22),2)</f>
        <v>0</v>
      </c>
      <c r="AD22" s="141">
        <f t="shared" si="45"/>
        <v>54161.08</v>
      </c>
      <c r="AE22" s="101"/>
      <c r="AF22" s="141">
        <v>67273.100000000006</v>
      </c>
      <c r="AG22" s="101">
        <v>10</v>
      </c>
      <c r="AH22" s="141">
        <f t="shared" si="47"/>
        <v>64113.51</v>
      </c>
      <c r="AI22" s="101"/>
      <c r="AJ22" s="142">
        <f>ROUND((AD22*AE22+AF22*AG22+AH22*AI22),2)</f>
        <v>672731</v>
      </c>
      <c r="AK22" s="141">
        <f t="shared" si="48"/>
        <v>29360.82</v>
      </c>
      <c r="AL22" s="101"/>
      <c r="AM22" s="141">
        <f t="shared" si="49"/>
        <v>36645.26</v>
      </c>
      <c r="AN22" s="101"/>
      <c r="AO22" s="141">
        <f t="shared" si="50"/>
        <v>34889.949999999997</v>
      </c>
      <c r="AP22" s="101"/>
      <c r="AQ22" s="142">
        <f>ROUND((AK22*AL22+AM22*AN22+AO22*AP22),2)</f>
        <v>0</v>
      </c>
      <c r="AR22" s="141">
        <f t="shared" si="51"/>
        <v>35718.379999999997</v>
      </c>
      <c r="AS22" s="104"/>
      <c r="AT22" s="142">
        <f>ROUND((AR22*AS22),2)</f>
        <v>0</v>
      </c>
      <c r="AU22" s="143">
        <f>AT22+AQ22+AJ22+AC22+X22+Q22+J22</f>
        <v>17378925.219999999</v>
      </c>
      <c r="AV22" s="105"/>
      <c r="AW22" s="141">
        <f t="shared" si="52"/>
        <v>65258.22</v>
      </c>
      <c r="AX22" s="102"/>
      <c r="AY22" s="141">
        <f t="shared" si="53"/>
        <v>81192.94</v>
      </c>
      <c r="AZ22" s="102"/>
      <c r="BA22" s="141">
        <f t="shared" si="54"/>
        <v>77353.2</v>
      </c>
      <c r="BB22" s="102"/>
      <c r="BC22" s="142">
        <f>ROUND((AW22*AX22+AY22*AZ22+BA22*BB22),2)</f>
        <v>0</v>
      </c>
      <c r="BD22" s="141">
        <f t="shared" si="55"/>
        <v>77787.27</v>
      </c>
      <c r="BE22" s="100"/>
      <c r="BF22" s="141">
        <f t="shared" si="56"/>
        <v>96908.93</v>
      </c>
      <c r="BG22" s="100"/>
      <c r="BH22" s="142">
        <f>ROUND((BD22*BE22+BF22*BG22),2)</f>
        <v>0</v>
      </c>
      <c r="BI22" s="144">
        <f>BH22+BC22</f>
        <v>0</v>
      </c>
      <c r="BJ22" s="141">
        <f t="shared" si="57"/>
        <v>25708.01</v>
      </c>
      <c r="BK22" s="100"/>
      <c r="BL22" s="141">
        <f t="shared" si="58"/>
        <v>27763.9</v>
      </c>
      <c r="BM22" s="100"/>
      <c r="BN22" s="141">
        <f t="shared" si="59"/>
        <v>23851.91</v>
      </c>
      <c r="BO22" s="100"/>
      <c r="BP22" s="142">
        <f>ROUND((BJ22*BK22+BL22*BM22+BN22*BO22),2)</f>
        <v>0</v>
      </c>
      <c r="BQ22" s="141">
        <f t="shared" si="60"/>
        <v>29360.82</v>
      </c>
      <c r="BR22" s="103"/>
      <c r="BS22" s="141">
        <f t="shared" si="61"/>
        <v>36645.26</v>
      </c>
      <c r="BT22" s="103"/>
      <c r="BU22" s="141">
        <f t="shared" si="62"/>
        <v>34889.949999999997</v>
      </c>
      <c r="BV22" s="103"/>
      <c r="BW22" s="142">
        <f>ROUND((BQ22*BR22+BS22*BT22+BU22*BV22),2)</f>
        <v>0</v>
      </c>
      <c r="BX22" s="183">
        <f>BV22+BT22+BR22+BO22+BM22+BK22+BG22+BE22+BB22+AZ22+AX22+AS22+AP22+AN22+AL22+AI22+AG22+AE22+AB22+Z22+W22+U22+S22+P22+N22+L22+I22+G22+E22</f>
        <v>479</v>
      </c>
      <c r="BY22" s="107"/>
      <c r="BZ22" s="107"/>
    </row>
    <row r="23" spans="1:78" ht="18.75">
      <c r="A23" s="179"/>
      <c r="B23" s="162" t="s">
        <v>417</v>
      </c>
      <c r="C23" s="180"/>
      <c r="D23" s="141">
        <f t="shared" si="34"/>
        <v>31250.82</v>
      </c>
      <c r="E23" s="163">
        <f>E22</f>
        <v>178</v>
      </c>
      <c r="F23" s="141">
        <f t="shared" si="35"/>
        <v>38535.26</v>
      </c>
      <c r="G23" s="163">
        <f>G22</f>
        <v>251</v>
      </c>
      <c r="H23" s="141">
        <f t="shared" si="36"/>
        <v>36779.949999999997</v>
      </c>
      <c r="I23" s="163">
        <f>I22</f>
        <v>40</v>
      </c>
      <c r="J23" s="163">
        <f>J22</f>
        <v>16706194.220000001</v>
      </c>
      <c r="K23" s="141">
        <f t="shared" si="37"/>
        <v>35546.49</v>
      </c>
      <c r="L23" s="163">
        <f>L22</f>
        <v>0</v>
      </c>
      <c r="M23" s="141">
        <f t="shared" si="38"/>
        <v>43923.6</v>
      </c>
      <c r="N23" s="163">
        <f>N22</f>
        <v>0</v>
      </c>
      <c r="O23" s="141">
        <f t="shared" si="39"/>
        <v>41904.99</v>
      </c>
      <c r="P23" s="163">
        <f>P22</f>
        <v>0</v>
      </c>
      <c r="Q23" s="163">
        <f>Q22</f>
        <v>0</v>
      </c>
      <c r="R23" s="141">
        <f t="shared" si="40"/>
        <v>41274.050000000003</v>
      </c>
      <c r="S23" s="163">
        <f>S22</f>
        <v>0</v>
      </c>
      <c r="T23" s="141">
        <f t="shared" si="41"/>
        <v>51108.05</v>
      </c>
      <c r="U23" s="163">
        <f>U22</f>
        <v>0</v>
      </c>
      <c r="V23" s="141">
        <f t="shared" si="42"/>
        <v>48738.38</v>
      </c>
      <c r="W23" s="163">
        <f>W22</f>
        <v>0</v>
      </c>
      <c r="X23" s="163">
        <f>X22</f>
        <v>0</v>
      </c>
      <c r="Y23" s="141">
        <f t="shared" si="43"/>
        <v>45569.73</v>
      </c>
      <c r="Z23" s="163">
        <f>Z22</f>
        <v>0</v>
      </c>
      <c r="AA23" s="141">
        <f t="shared" si="44"/>
        <v>56496.39</v>
      </c>
      <c r="AB23" s="163">
        <f>AB22</f>
        <v>0</v>
      </c>
      <c r="AC23" s="163">
        <f>AC22</f>
        <v>0</v>
      </c>
      <c r="AD23" s="141">
        <f t="shared" si="45"/>
        <v>54161.08</v>
      </c>
      <c r="AE23" s="163">
        <f>AE22</f>
        <v>0</v>
      </c>
      <c r="AF23" s="141">
        <f t="shared" si="46"/>
        <v>67273.070000000007</v>
      </c>
      <c r="AG23" s="163">
        <f>AG22</f>
        <v>10</v>
      </c>
      <c r="AH23" s="141">
        <f t="shared" si="47"/>
        <v>64113.51</v>
      </c>
      <c r="AI23" s="163">
        <f>AI22</f>
        <v>0</v>
      </c>
      <c r="AJ23" s="163">
        <f>AJ22</f>
        <v>672731</v>
      </c>
      <c r="AK23" s="141">
        <f t="shared" si="48"/>
        <v>29360.82</v>
      </c>
      <c r="AL23" s="163">
        <f>AL22</f>
        <v>0</v>
      </c>
      <c r="AM23" s="141">
        <f t="shared" si="49"/>
        <v>36645.26</v>
      </c>
      <c r="AN23" s="163">
        <f>AN22</f>
        <v>0</v>
      </c>
      <c r="AO23" s="141">
        <f t="shared" si="50"/>
        <v>34889.949999999997</v>
      </c>
      <c r="AP23" s="163">
        <f>AP22</f>
        <v>0</v>
      </c>
      <c r="AQ23" s="163">
        <f>AQ22</f>
        <v>0</v>
      </c>
      <c r="AR23" s="141">
        <f t="shared" si="51"/>
        <v>35718.379999999997</v>
      </c>
      <c r="AS23" s="163">
        <f>AS22</f>
        <v>0</v>
      </c>
      <c r="AT23" s="163">
        <f>AT22</f>
        <v>0</v>
      </c>
      <c r="AU23" s="382">
        <f>AU22</f>
        <v>17378925.219999999</v>
      </c>
      <c r="AV23" s="163">
        <f>'старое не смотреть'!D43</f>
        <v>20289680</v>
      </c>
      <c r="AW23" s="141">
        <f t="shared" si="52"/>
        <v>65258.22</v>
      </c>
      <c r="AX23" s="163">
        <f>AX22</f>
        <v>0</v>
      </c>
      <c r="AY23" s="141">
        <f t="shared" si="53"/>
        <v>81192.94</v>
      </c>
      <c r="AZ23" s="163">
        <f>AZ22</f>
        <v>0</v>
      </c>
      <c r="BA23" s="141">
        <f t="shared" si="54"/>
        <v>77353.2</v>
      </c>
      <c r="BB23" s="163">
        <f>BB22</f>
        <v>0</v>
      </c>
      <c r="BC23" s="163">
        <f>BC22</f>
        <v>0</v>
      </c>
      <c r="BD23" s="141">
        <f t="shared" si="55"/>
        <v>77787.27</v>
      </c>
      <c r="BE23" s="163">
        <f>BE22</f>
        <v>0</v>
      </c>
      <c r="BF23" s="141">
        <f t="shared" si="56"/>
        <v>96908.93</v>
      </c>
      <c r="BG23" s="163">
        <f>BG22</f>
        <v>0</v>
      </c>
      <c r="BH23" s="163">
        <f>BH22</f>
        <v>0</v>
      </c>
      <c r="BI23" s="163">
        <f>BI22</f>
        <v>0</v>
      </c>
      <c r="BJ23" s="141">
        <f t="shared" si="57"/>
        <v>25708.01</v>
      </c>
      <c r="BK23" s="163">
        <f>BK22</f>
        <v>0</v>
      </c>
      <c r="BL23" s="141">
        <f t="shared" si="58"/>
        <v>27763.9</v>
      </c>
      <c r="BM23" s="163">
        <f>BM22</f>
        <v>0</v>
      </c>
      <c r="BN23" s="141">
        <f t="shared" si="59"/>
        <v>23851.91</v>
      </c>
      <c r="BO23" s="163">
        <f>BO22</f>
        <v>0</v>
      </c>
      <c r="BP23" s="163">
        <f>BP22</f>
        <v>0</v>
      </c>
      <c r="BQ23" s="141">
        <f t="shared" si="60"/>
        <v>29360.82</v>
      </c>
      <c r="BR23" s="163">
        <f t="shared" ref="BR23:BX23" si="63">BR22</f>
        <v>0</v>
      </c>
      <c r="BS23" s="141">
        <f t="shared" si="61"/>
        <v>36645.26</v>
      </c>
      <c r="BT23" s="163">
        <f t="shared" si="63"/>
        <v>0</v>
      </c>
      <c r="BU23" s="141">
        <f t="shared" si="62"/>
        <v>34889.949999999997</v>
      </c>
      <c r="BV23" s="163">
        <f t="shared" si="63"/>
        <v>0</v>
      </c>
      <c r="BW23" s="163">
        <f t="shared" si="63"/>
        <v>0</v>
      </c>
      <c r="BX23" s="165">
        <f t="shared" si="63"/>
        <v>479</v>
      </c>
      <c r="BY23" s="166">
        <f>ROUND((AU23*AV17+BI23+BP23+BW23),2)</f>
        <v>0</v>
      </c>
      <c r="BZ23" s="178"/>
    </row>
    <row r="24" spans="1:78" s="616" customFormat="1" ht="17.45" customHeight="1">
      <c r="A24" s="1641" t="s">
        <v>89</v>
      </c>
      <c r="B24" s="1641"/>
      <c r="C24" s="1641"/>
      <c r="D24" s="612">
        <f t="shared" si="34"/>
        <v>31250.82</v>
      </c>
      <c r="E24" s="613"/>
      <c r="F24" s="612">
        <f t="shared" si="35"/>
        <v>38535.26</v>
      </c>
      <c r="G24" s="613"/>
      <c r="H24" s="612">
        <f t="shared" si="36"/>
        <v>36779.949999999997</v>
      </c>
      <c r="I24" s="613"/>
      <c r="J24" s="613"/>
      <c r="K24" s="612">
        <f t="shared" si="37"/>
        <v>35546.49</v>
      </c>
      <c r="L24" s="613"/>
      <c r="M24" s="612">
        <f t="shared" si="38"/>
        <v>43923.6</v>
      </c>
      <c r="N24" s="613"/>
      <c r="O24" s="612">
        <f t="shared" si="39"/>
        <v>41904.99</v>
      </c>
      <c r="P24" s="613"/>
      <c r="Q24" s="613"/>
      <c r="R24" s="612">
        <f t="shared" si="40"/>
        <v>41274.050000000003</v>
      </c>
      <c r="S24" s="613"/>
      <c r="T24" s="612">
        <f t="shared" si="41"/>
        <v>51108.05</v>
      </c>
      <c r="U24" s="613"/>
      <c r="V24" s="612">
        <f t="shared" si="42"/>
        <v>48738.38</v>
      </c>
      <c r="W24" s="613"/>
      <c r="X24" s="613"/>
      <c r="Y24" s="612">
        <f t="shared" si="43"/>
        <v>45569.73</v>
      </c>
      <c r="Z24" s="613"/>
      <c r="AA24" s="612">
        <f t="shared" si="44"/>
        <v>56496.39</v>
      </c>
      <c r="AB24" s="613"/>
      <c r="AC24" s="613"/>
      <c r="AD24" s="612">
        <f t="shared" si="45"/>
        <v>54161.08</v>
      </c>
      <c r="AE24" s="613"/>
      <c r="AF24" s="612">
        <f t="shared" si="46"/>
        <v>67273.070000000007</v>
      </c>
      <c r="AG24" s="613"/>
      <c r="AH24" s="612">
        <f t="shared" si="47"/>
        <v>64113.51</v>
      </c>
      <c r="AI24" s="613"/>
      <c r="AJ24" s="613"/>
      <c r="AK24" s="612">
        <f t="shared" si="48"/>
        <v>29360.82</v>
      </c>
      <c r="AL24" s="613"/>
      <c r="AM24" s="612">
        <f t="shared" si="49"/>
        <v>36645.26</v>
      </c>
      <c r="AN24" s="613"/>
      <c r="AO24" s="612">
        <f t="shared" si="50"/>
        <v>34889.949999999997</v>
      </c>
      <c r="AP24" s="613"/>
      <c r="AQ24" s="613"/>
      <c r="AR24" s="612">
        <f t="shared" si="51"/>
        <v>35718.379999999997</v>
      </c>
      <c r="AS24" s="613"/>
      <c r="AT24" s="613"/>
      <c r="AU24" s="1061"/>
      <c r="AV24" s="614">
        <f>ROUND(AV37/AU37,3)</f>
        <v>1.6040000000000001</v>
      </c>
      <c r="AW24" s="612">
        <f t="shared" si="52"/>
        <v>65258.22</v>
      </c>
      <c r="AX24" s="613"/>
      <c r="AY24" s="612">
        <f t="shared" si="53"/>
        <v>81192.94</v>
      </c>
      <c r="AZ24" s="613"/>
      <c r="BA24" s="612">
        <f t="shared" si="54"/>
        <v>77353.2</v>
      </c>
      <c r="BB24" s="613"/>
      <c r="BC24" s="613"/>
      <c r="BD24" s="612">
        <f t="shared" si="55"/>
        <v>77787.27</v>
      </c>
      <c r="BE24" s="613"/>
      <c r="BF24" s="612">
        <f t="shared" si="56"/>
        <v>96908.93</v>
      </c>
      <c r="BG24" s="613"/>
      <c r="BH24" s="613"/>
      <c r="BI24" s="613"/>
      <c r="BJ24" s="612">
        <f t="shared" si="57"/>
        <v>25708.01</v>
      </c>
      <c r="BK24" s="613"/>
      <c r="BL24" s="612">
        <f t="shared" si="58"/>
        <v>27763.9</v>
      </c>
      <c r="BM24" s="613"/>
      <c r="BN24" s="612">
        <f t="shared" si="59"/>
        <v>23851.91</v>
      </c>
      <c r="BO24" s="613"/>
      <c r="BP24" s="613"/>
      <c r="BQ24" s="612">
        <f t="shared" si="60"/>
        <v>29360.82</v>
      </c>
      <c r="BR24" s="613"/>
      <c r="BS24" s="612">
        <f t="shared" si="61"/>
        <v>36645.26</v>
      </c>
      <c r="BT24" s="613"/>
      <c r="BU24" s="612">
        <f t="shared" si="62"/>
        <v>34889.949999999997</v>
      </c>
      <c r="BV24" s="613"/>
      <c r="BW24" s="613"/>
      <c r="BX24" s="613"/>
      <c r="BY24" s="615"/>
      <c r="BZ24" s="615"/>
    </row>
    <row r="25" spans="1:78" s="626" customFormat="1" ht="15.75">
      <c r="A25" s="617">
        <v>1</v>
      </c>
      <c r="B25" s="618" t="s">
        <v>130</v>
      </c>
      <c r="C25" s="619" t="s">
        <v>390</v>
      </c>
      <c r="D25" s="612">
        <f t="shared" si="34"/>
        <v>31250.82</v>
      </c>
      <c r="E25" s="532">
        <v>171</v>
      </c>
      <c r="F25" s="612">
        <f t="shared" si="35"/>
        <v>38535.26</v>
      </c>
      <c r="G25" s="532">
        <v>213</v>
      </c>
      <c r="H25" s="612">
        <f t="shared" si="36"/>
        <v>36779.949999999997</v>
      </c>
      <c r="I25" s="532">
        <v>39</v>
      </c>
      <c r="J25" s="620">
        <f>ROUND((D25*E25+F25*G25+H25*I25),2)</f>
        <v>14986318.65</v>
      </c>
      <c r="K25" s="612">
        <f t="shared" si="37"/>
        <v>35546.49</v>
      </c>
      <c r="L25" s="532"/>
      <c r="M25" s="612">
        <f t="shared" si="38"/>
        <v>43923.6</v>
      </c>
      <c r="N25" s="532"/>
      <c r="O25" s="612">
        <f t="shared" si="39"/>
        <v>41904.99</v>
      </c>
      <c r="P25" s="532"/>
      <c r="Q25" s="620">
        <f>ROUND((K25*L25+M25*N25+O25*P25),2)</f>
        <v>0</v>
      </c>
      <c r="R25" s="612">
        <f t="shared" si="40"/>
        <v>41274.050000000003</v>
      </c>
      <c r="S25" s="532"/>
      <c r="T25" s="612">
        <f t="shared" si="41"/>
        <v>51108.05</v>
      </c>
      <c r="U25" s="532"/>
      <c r="V25" s="612">
        <f t="shared" si="42"/>
        <v>48738.38</v>
      </c>
      <c r="W25" s="621"/>
      <c r="X25" s="620">
        <f>ROUND((R25*S25+T25*U25+V25*W25),2)</f>
        <v>0</v>
      </c>
      <c r="Y25" s="612">
        <f t="shared" si="43"/>
        <v>45569.73</v>
      </c>
      <c r="Z25" s="621"/>
      <c r="AA25" s="612">
        <f t="shared" si="44"/>
        <v>56496.39</v>
      </c>
      <c r="AB25" s="621"/>
      <c r="AC25" s="620">
        <f>ROUND((Y25*Z25+AA25*AB25),2)</f>
        <v>0</v>
      </c>
      <c r="AD25" s="612">
        <f t="shared" si="45"/>
        <v>54161.08</v>
      </c>
      <c r="AE25" s="532"/>
      <c r="AF25" s="612">
        <f t="shared" si="46"/>
        <v>67273.070000000007</v>
      </c>
      <c r="AG25" s="532">
        <v>2</v>
      </c>
      <c r="AH25" s="612">
        <f t="shared" si="47"/>
        <v>64113.51</v>
      </c>
      <c r="AI25" s="532"/>
      <c r="AJ25" s="620">
        <f>ROUND((AD25*AE25+AF25*AG25+AH25*AI25),2)</f>
        <v>134546.14000000001</v>
      </c>
      <c r="AK25" s="612">
        <f t="shared" si="48"/>
        <v>29360.82</v>
      </c>
      <c r="AL25" s="621"/>
      <c r="AM25" s="612">
        <f t="shared" si="49"/>
        <v>36645.26</v>
      </c>
      <c r="AN25" s="621"/>
      <c r="AO25" s="612">
        <f t="shared" si="50"/>
        <v>34889.949999999997</v>
      </c>
      <c r="AP25" s="621"/>
      <c r="AQ25" s="620">
        <f>ROUND((AK25*AL25+AM25*AN25+AO25*AP25),2)</f>
        <v>0</v>
      </c>
      <c r="AR25" s="612">
        <f t="shared" si="51"/>
        <v>35718.379999999997</v>
      </c>
      <c r="AS25" s="532"/>
      <c r="AT25" s="142">
        <f>ROUND((AR25*AS25),2)</f>
        <v>0</v>
      </c>
      <c r="AU25" s="622">
        <f>AT25+AQ25+AJ25+AC25+X25+Q25+J25</f>
        <v>15120864.790000001</v>
      </c>
      <c r="AV25" s="621"/>
      <c r="AW25" s="612">
        <f t="shared" si="52"/>
        <v>65258.22</v>
      </c>
      <c r="AX25" s="621"/>
      <c r="AY25" s="612">
        <f t="shared" si="53"/>
        <v>81192.94</v>
      </c>
      <c r="AZ25" s="621"/>
      <c r="BA25" s="612">
        <f t="shared" si="54"/>
        <v>77353.2</v>
      </c>
      <c r="BB25" s="621"/>
      <c r="BC25" s="620">
        <f>ROUND((AW25*AX25+AY25*AZ25+BA25*BB25),2)</f>
        <v>0</v>
      </c>
      <c r="BD25" s="612">
        <f t="shared" si="55"/>
        <v>77787.27</v>
      </c>
      <c r="BE25" s="621"/>
      <c r="BF25" s="612">
        <f t="shared" si="56"/>
        <v>96908.93</v>
      </c>
      <c r="BG25" s="621"/>
      <c r="BH25" s="620">
        <f>ROUND((BD25*BE25+BF25*BG25),2)</f>
        <v>0</v>
      </c>
      <c r="BI25" s="623">
        <f>BH25+BC25</f>
        <v>0</v>
      </c>
      <c r="BJ25" s="612">
        <f t="shared" si="57"/>
        <v>25708.01</v>
      </c>
      <c r="BK25" s="621"/>
      <c r="BL25" s="612">
        <f t="shared" si="58"/>
        <v>27763.9</v>
      </c>
      <c r="BM25" s="621"/>
      <c r="BN25" s="612">
        <f t="shared" si="59"/>
        <v>23851.91</v>
      </c>
      <c r="BO25" s="621"/>
      <c r="BP25" s="620">
        <f>ROUND((BJ25*BK25+BL25*BM25+BN25*BO25),2)</f>
        <v>0</v>
      </c>
      <c r="BQ25" s="612">
        <f t="shared" si="60"/>
        <v>29360.82</v>
      </c>
      <c r="BR25" s="621"/>
      <c r="BS25" s="612">
        <f t="shared" si="61"/>
        <v>36645.26</v>
      </c>
      <c r="BT25" s="621"/>
      <c r="BU25" s="612">
        <f t="shared" si="62"/>
        <v>34889.949999999997</v>
      </c>
      <c r="BV25" s="621"/>
      <c r="BW25" s="620">
        <f>ROUND((BQ25*BR25+BS25*BT25+BU25*BV25),2)</f>
        <v>0</v>
      </c>
      <c r="BX25" s="624">
        <f>BV25+BT25+BR25+BO25+BM25+BK25+BG25+BE25+BB25+AZ25+AX25+AS25+AP25+AN25+AL25+AI25+AG25+AE25+AB25+Z25+W25+U25+S25+P25+N25+L25+I25+G25+E25</f>
        <v>425</v>
      </c>
      <c r="BY25" s="625"/>
      <c r="BZ25" s="625"/>
    </row>
    <row r="26" spans="1:78" s="637" customFormat="1" ht="15.75">
      <c r="A26" s="627"/>
      <c r="B26" s="628" t="s">
        <v>418</v>
      </c>
      <c r="C26" s="629" t="s">
        <v>412</v>
      </c>
      <c r="D26" s="612">
        <f t="shared" si="34"/>
        <v>31250.82</v>
      </c>
      <c r="E26" s="533">
        <v>11</v>
      </c>
      <c r="F26" s="612">
        <f t="shared" si="35"/>
        <v>38535.26</v>
      </c>
      <c r="G26" s="533"/>
      <c r="H26" s="612">
        <f t="shared" si="36"/>
        <v>36779.949999999997</v>
      </c>
      <c r="I26" s="533"/>
      <c r="J26" s="620">
        <f>ROUND((D26*E26+F26*G26+H26*I26),2)</f>
        <v>343759.02</v>
      </c>
      <c r="K26" s="612">
        <f t="shared" si="37"/>
        <v>35546.49</v>
      </c>
      <c r="L26" s="533"/>
      <c r="M26" s="612">
        <f t="shared" si="38"/>
        <v>43923.6</v>
      </c>
      <c r="N26" s="533"/>
      <c r="O26" s="612">
        <f t="shared" si="39"/>
        <v>41904.99</v>
      </c>
      <c r="P26" s="533"/>
      <c r="Q26" s="620">
        <f>ROUND((K26*L26+M26*N26+O26*P26),2)</f>
        <v>0</v>
      </c>
      <c r="R26" s="612">
        <f t="shared" si="40"/>
        <v>41274.050000000003</v>
      </c>
      <c r="S26" s="533"/>
      <c r="T26" s="612">
        <f t="shared" si="41"/>
        <v>51108.05</v>
      </c>
      <c r="U26" s="533"/>
      <c r="V26" s="612">
        <f t="shared" si="42"/>
        <v>48738.38</v>
      </c>
      <c r="W26" s="630"/>
      <c r="X26" s="620">
        <f>ROUND((R26*S26+T26*U26+V26*W26),2)</f>
        <v>0</v>
      </c>
      <c r="Y26" s="612">
        <f t="shared" si="43"/>
        <v>45569.73</v>
      </c>
      <c r="Z26" s="631"/>
      <c r="AA26" s="612">
        <f t="shared" si="44"/>
        <v>56496.39</v>
      </c>
      <c r="AB26" s="631"/>
      <c r="AC26" s="620">
        <f>ROUND((Y26*Z26+AA26*AB26),2)</f>
        <v>0</v>
      </c>
      <c r="AD26" s="612">
        <f t="shared" si="45"/>
        <v>54161.08</v>
      </c>
      <c r="AE26" s="533"/>
      <c r="AF26" s="612">
        <f t="shared" si="46"/>
        <v>67273.070000000007</v>
      </c>
      <c r="AG26" s="533"/>
      <c r="AH26" s="612">
        <f t="shared" si="47"/>
        <v>64113.51</v>
      </c>
      <c r="AI26" s="533"/>
      <c r="AJ26" s="620">
        <f>ROUND((AD26*AE26+AF26*AG26+AH26*AI26),2)</f>
        <v>0</v>
      </c>
      <c r="AK26" s="612">
        <f t="shared" si="48"/>
        <v>29360.82</v>
      </c>
      <c r="AL26" s="632"/>
      <c r="AM26" s="612">
        <f t="shared" si="49"/>
        <v>36645.26</v>
      </c>
      <c r="AN26" s="632"/>
      <c r="AO26" s="612">
        <f t="shared" si="50"/>
        <v>34889.949999999997</v>
      </c>
      <c r="AP26" s="632"/>
      <c r="AQ26" s="620">
        <f>ROUND((AK26*AL26+AM26*AN26+AO26*AP26),2)</f>
        <v>0</v>
      </c>
      <c r="AR26" s="612">
        <f t="shared" si="51"/>
        <v>35718.379999999997</v>
      </c>
      <c r="AS26" s="533">
        <v>15</v>
      </c>
      <c r="AT26" s="142">
        <f>ROUND((AR26*AS26),2)</f>
        <v>535775.69999999995</v>
      </c>
      <c r="AU26" s="633">
        <f>AT26+AQ26+AJ26+AC26+X26+Q26+J26</f>
        <v>879534.72</v>
      </c>
      <c r="AV26" s="634"/>
      <c r="AW26" s="612">
        <f t="shared" si="52"/>
        <v>65258.22</v>
      </c>
      <c r="AX26" s="635"/>
      <c r="AY26" s="612">
        <f t="shared" si="53"/>
        <v>81192.94</v>
      </c>
      <c r="AZ26" s="635"/>
      <c r="BA26" s="612">
        <f t="shared" si="54"/>
        <v>77353.2</v>
      </c>
      <c r="BB26" s="635"/>
      <c r="BC26" s="620">
        <f>ROUND((AW26*AX26+AY26*AZ26+BA26*BB26),2)</f>
        <v>0</v>
      </c>
      <c r="BD26" s="612">
        <f t="shared" si="55"/>
        <v>77787.27</v>
      </c>
      <c r="BE26" s="631"/>
      <c r="BF26" s="612">
        <f t="shared" si="56"/>
        <v>96908.93</v>
      </c>
      <c r="BG26" s="631"/>
      <c r="BH26" s="620">
        <f>ROUND((BD26*BE26+BF26*BG26),2)</f>
        <v>0</v>
      </c>
      <c r="BI26" s="623">
        <f>BH26+BC26</f>
        <v>0</v>
      </c>
      <c r="BJ26" s="612">
        <f t="shared" si="57"/>
        <v>25708.01</v>
      </c>
      <c r="BK26" s="631"/>
      <c r="BL26" s="612">
        <f t="shared" si="58"/>
        <v>27763.9</v>
      </c>
      <c r="BM26" s="631"/>
      <c r="BN26" s="612">
        <f t="shared" si="59"/>
        <v>23851.91</v>
      </c>
      <c r="BO26" s="631"/>
      <c r="BP26" s="620">
        <f>ROUND((BJ26*BK26+BL26*BM26+BN26*BO26),2)</f>
        <v>0</v>
      </c>
      <c r="BQ26" s="612">
        <f t="shared" si="60"/>
        <v>29360.82</v>
      </c>
      <c r="BR26" s="630"/>
      <c r="BS26" s="612">
        <f t="shared" si="61"/>
        <v>36645.26</v>
      </c>
      <c r="BT26" s="630"/>
      <c r="BU26" s="612">
        <f t="shared" si="62"/>
        <v>34889.949999999997</v>
      </c>
      <c r="BV26" s="630"/>
      <c r="BW26" s="620">
        <f>ROUND((BQ26*BR26+BS26*BT26+BU26*BV26),2)</f>
        <v>0</v>
      </c>
      <c r="BX26" s="624">
        <f>BV26+BT26+BR26+BO26+BM26+BK26+BG26+BE26+BB26+AZ26+AX26+AS26+AP26+AN26+AL26+AI26+AG26+AE26+AB26+Z26+W26+U26+S26+P26+N26+L26+I26+G26+E26</f>
        <v>26</v>
      </c>
      <c r="BY26" s="636"/>
      <c r="BZ26" s="636"/>
    </row>
    <row r="27" spans="1:78" s="644" customFormat="1" ht="15.75">
      <c r="A27" s="638"/>
      <c r="B27" s="639" t="s">
        <v>419</v>
      </c>
      <c r="C27" s="640"/>
      <c r="D27" s="612">
        <f t="shared" si="34"/>
        <v>31250.82</v>
      </c>
      <c r="E27" s="534">
        <f>E26+E25</f>
        <v>182</v>
      </c>
      <c r="F27" s="612">
        <f t="shared" si="35"/>
        <v>38535.26</v>
      </c>
      <c r="G27" s="534">
        <f>G26+G25</f>
        <v>213</v>
      </c>
      <c r="H27" s="612">
        <f t="shared" si="36"/>
        <v>36779.949999999997</v>
      </c>
      <c r="I27" s="534">
        <f>I26+I25</f>
        <v>39</v>
      </c>
      <c r="J27" s="641">
        <f>SUM(J25:J26)</f>
        <v>15330077.67</v>
      </c>
      <c r="K27" s="612">
        <f t="shared" si="37"/>
        <v>35546.49</v>
      </c>
      <c r="L27" s="534">
        <f>L26+L25</f>
        <v>0</v>
      </c>
      <c r="M27" s="612">
        <f t="shared" si="38"/>
        <v>43923.6</v>
      </c>
      <c r="N27" s="534">
        <f>N26+N25</f>
        <v>0</v>
      </c>
      <c r="O27" s="612">
        <f t="shared" si="39"/>
        <v>41904.99</v>
      </c>
      <c r="P27" s="534">
        <f>P26+P25</f>
        <v>0</v>
      </c>
      <c r="Q27" s="641">
        <f>SUM(Q25:Q26)</f>
        <v>0</v>
      </c>
      <c r="R27" s="612">
        <f t="shared" si="40"/>
        <v>41274.050000000003</v>
      </c>
      <c r="S27" s="534">
        <f>S26+S25</f>
        <v>0</v>
      </c>
      <c r="T27" s="612">
        <f t="shared" si="41"/>
        <v>51108.05</v>
      </c>
      <c r="U27" s="534">
        <f>U26+U25</f>
        <v>0</v>
      </c>
      <c r="V27" s="612">
        <f t="shared" si="42"/>
        <v>48738.38</v>
      </c>
      <c r="W27" s="641">
        <f>SUM(W25:W26)</f>
        <v>0</v>
      </c>
      <c r="X27" s="641">
        <f>SUM(X25:X26)</f>
        <v>0</v>
      </c>
      <c r="Y27" s="612">
        <f t="shared" si="43"/>
        <v>45569.73</v>
      </c>
      <c r="Z27" s="641">
        <f>SUM(Z25:Z26)</f>
        <v>0</v>
      </c>
      <c r="AA27" s="612">
        <f t="shared" si="44"/>
        <v>56496.39</v>
      </c>
      <c r="AB27" s="641">
        <f>SUM(AB25:AB26)</f>
        <v>0</v>
      </c>
      <c r="AC27" s="641">
        <f>SUM(AC25:AC26)</f>
        <v>0</v>
      </c>
      <c r="AD27" s="612">
        <f t="shared" si="45"/>
        <v>54161.08</v>
      </c>
      <c r="AE27" s="534">
        <f>AE26+AE25</f>
        <v>0</v>
      </c>
      <c r="AF27" s="612">
        <f t="shared" si="46"/>
        <v>67273.070000000007</v>
      </c>
      <c r="AG27" s="534">
        <f>AG26+AG25</f>
        <v>2</v>
      </c>
      <c r="AH27" s="612">
        <f t="shared" si="47"/>
        <v>64113.51</v>
      </c>
      <c r="AI27" s="534">
        <f>AI26+AI25</f>
        <v>0</v>
      </c>
      <c r="AJ27" s="641">
        <f>SUM(AJ25:AJ26)</f>
        <v>134546.14000000001</v>
      </c>
      <c r="AK27" s="612">
        <f t="shared" si="48"/>
        <v>29360.82</v>
      </c>
      <c r="AL27" s="641">
        <f>SUM(AL25:AL26)</f>
        <v>0</v>
      </c>
      <c r="AM27" s="612">
        <f t="shared" si="49"/>
        <v>36645.26</v>
      </c>
      <c r="AN27" s="641">
        <f>SUM(AN25:AN26)</f>
        <v>0</v>
      </c>
      <c r="AO27" s="612">
        <f t="shared" si="50"/>
        <v>34889.949999999997</v>
      </c>
      <c r="AP27" s="641">
        <f>SUM(AP25:AP26)</f>
        <v>0</v>
      </c>
      <c r="AQ27" s="641">
        <f>SUM(AQ25:AQ26)</f>
        <v>0</v>
      </c>
      <c r="AR27" s="612">
        <f t="shared" si="51"/>
        <v>35718.379999999997</v>
      </c>
      <c r="AS27" s="534">
        <f>AS26+AS25</f>
        <v>15</v>
      </c>
      <c r="AT27" s="641">
        <f>SUM(AT25:AT26)</f>
        <v>535775.69999999995</v>
      </c>
      <c r="AU27" s="1062">
        <f>SUM(AU25:AU26)</f>
        <v>16000399.510000002</v>
      </c>
      <c r="AV27" s="641">
        <f>SUM(AV25:AV26)</f>
        <v>0</v>
      </c>
      <c r="AW27" s="612">
        <f t="shared" si="52"/>
        <v>65258.22</v>
      </c>
      <c r="AX27" s="641">
        <f>SUM(AX25:AX26)</f>
        <v>0</v>
      </c>
      <c r="AY27" s="612">
        <f t="shared" si="53"/>
        <v>81192.94</v>
      </c>
      <c r="AZ27" s="641">
        <f>SUM(AZ25:AZ26)</f>
        <v>0</v>
      </c>
      <c r="BA27" s="612">
        <f t="shared" si="54"/>
        <v>77353.2</v>
      </c>
      <c r="BB27" s="641">
        <f>SUM(BB25:BB26)</f>
        <v>0</v>
      </c>
      <c r="BC27" s="641">
        <f>SUM(BC25:BC26)</f>
        <v>0</v>
      </c>
      <c r="BD27" s="612">
        <f t="shared" si="55"/>
        <v>77787.27</v>
      </c>
      <c r="BE27" s="641">
        <f>SUM(BE25:BE26)</f>
        <v>0</v>
      </c>
      <c r="BF27" s="612">
        <f t="shared" si="56"/>
        <v>96908.93</v>
      </c>
      <c r="BG27" s="641">
        <f>SUM(BG25:BG26)</f>
        <v>0</v>
      </c>
      <c r="BH27" s="641">
        <f>SUM(BH25:BH26)</f>
        <v>0</v>
      </c>
      <c r="BI27" s="641">
        <f>SUM(BI25:BI26)</f>
        <v>0</v>
      </c>
      <c r="BJ27" s="612">
        <f t="shared" si="57"/>
        <v>25708.01</v>
      </c>
      <c r="BK27" s="641">
        <f>SUM(BK25:BK26)</f>
        <v>0</v>
      </c>
      <c r="BL27" s="612">
        <f t="shared" si="58"/>
        <v>27763.9</v>
      </c>
      <c r="BM27" s="641">
        <f>SUM(BM25:BM26)</f>
        <v>0</v>
      </c>
      <c r="BN27" s="612">
        <f t="shared" si="59"/>
        <v>23851.91</v>
      </c>
      <c r="BO27" s="641">
        <f>SUM(BO25:BO26)</f>
        <v>0</v>
      </c>
      <c r="BP27" s="641">
        <f>SUM(BP25:BP26)</f>
        <v>0</v>
      </c>
      <c r="BQ27" s="612">
        <f t="shared" si="60"/>
        <v>29360.82</v>
      </c>
      <c r="BR27" s="641">
        <f t="shared" ref="BR27:BW27" si="64">SUM(BR25:BR26)</f>
        <v>0</v>
      </c>
      <c r="BS27" s="612">
        <f t="shared" si="61"/>
        <v>36645.26</v>
      </c>
      <c r="BT27" s="641">
        <f t="shared" si="64"/>
        <v>0</v>
      </c>
      <c r="BU27" s="612">
        <f t="shared" si="62"/>
        <v>34889.949999999997</v>
      </c>
      <c r="BV27" s="641">
        <f t="shared" si="64"/>
        <v>0</v>
      </c>
      <c r="BW27" s="641">
        <f t="shared" si="64"/>
        <v>0</v>
      </c>
      <c r="BX27" s="642">
        <f>SUM(BX25:BX26)</f>
        <v>451</v>
      </c>
      <c r="BY27" s="643"/>
      <c r="BZ27" s="643"/>
    </row>
    <row r="28" spans="1:78" s="652" customFormat="1" ht="15.75">
      <c r="A28" s="645">
        <v>2</v>
      </c>
      <c r="B28" s="618" t="s">
        <v>129</v>
      </c>
      <c r="C28" s="646" t="s">
        <v>390</v>
      </c>
      <c r="D28" s="612">
        <f t="shared" si="34"/>
        <v>31250.82</v>
      </c>
      <c r="E28" s="533">
        <v>88</v>
      </c>
      <c r="F28" s="612">
        <f t="shared" si="35"/>
        <v>38535.26</v>
      </c>
      <c r="G28" s="533">
        <v>93</v>
      </c>
      <c r="H28" s="612">
        <f t="shared" si="36"/>
        <v>36779.949999999997</v>
      </c>
      <c r="I28" s="533">
        <v>29</v>
      </c>
      <c r="J28" s="620">
        <f>ROUND((D28*E28+F28*G28+H28*I28),2)</f>
        <v>7400469.8899999997</v>
      </c>
      <c r="K28" s="612">
        <f t="shared" si="37"/>
        <v>35546.49</v>
      </c>
      <c r="L28" s="533"/>
      <c r="M28" s="612">
        <f t="shared" si="38"/>
        <v>43923.6</v>
      </c>
      <c r="N28" s="533"/>
      <c r="O28" s="612">
        <f t="shared" si="39"/>
        <v>41904.99</v>
      </c>
      <c r="P28" s="533"/>
      <c r="Q28" s="620">
        <f>ROUND((K28*L28+M28*N28+O28*P28),2)</f>
        <v>0</v>
      </c>
      <c r="R28" s="612">
        <f t="shared" si="40"/>
        <v>41274.050000000003</v>
      </c>
      <c r="S28" s="533"/>
      <c r="T28" s="612">
        <f t="shared" si="41"/>
        <v>51108.05</v>
      </c>
      <c r="U28" s="533"/>
      <c r="V28" s="612">
        <f t="shared" si="42"/>
        <v>48738.38</v>
      </c>
      <c r="W28" s="647"/>
      <c r="X28" s="620">
        <f>ROUND((R28*S28+T28*U28+V28*W28),2)</f>
        <v>0</v>
      </c>
      <c r="Y28" s="612">
        <f t="shared" si="43"/>
        <v>45569.73</v>
      </c>
      <c r="Z28" s="647"/>
      <c r="AA28" s="612">
        <f t="shared" si="44"/>
        <v>56496.39</v>
      </c>
      <c r="AB28" s="647"/>
      <c r="AC28" s="620">
        <f>ROUND((Y28*Z28+AA28*AB28),2)</f>
        <v>0</v>
      </c>
      <c r="AD28" s="612">
        <f t="shared" si="45"/>
        <v>54161.08</v>
      </c>
      <c r="AE28" s="533">
        <v>2</v>
      </c>
      <c r="AF28" s="612">
        <f t="shared" si="46"/>
        <v>67273.070000000007</v>
      </c>
      <c r="AG28" s="533">
        <v>4</v>
      </c>
      <c r="AH28" s="612">
        <f t="shared" si="47"/>
        <v>64113.51</v>
      </c>
      <c r="AI28" s="533">
        <v>1</v>
      </c>
      <c r="AJ28" s="620">
        <f>ROUND((AD28*AE28+AF28*AG28+AH28*AI28),2)</f>
        <v>441527.95</v>
      </c>
      <c r="AK28" s="612">
        <f t="shared" si="48"/>
        <v>29360.82</v>
      </c>
      <c r="AL28" s="648"/>
      <c r="AM28" s="612">
        <f t="shared" si="49"/>
        <v>36645.26</v>
      </c>
      <c r="AN28" s="648"/>
      <c r="AO28" s="612">
        <f t="shared" si="50"/>
        <v>34889.949999999997</v>
      </c>
      <c r="AP28" s="648"/>
      <c r="AQ28" s="620">
        <f>ROUND((AK28*AL28+AM28*AN28+AO28*AP28),2)</f>
        <v>0</v>
      </c>
      <c r="AR28" s="612">
        <f t="shared" si="51"/>
        <v>35718.379999999997</v>
      </c>
      <c r="AS28" s="533"/>
      <c r="AT28" s="620">
        <f>ROUND((AR28*AS28),2)</f>
        <v>0</v>
      </c>
      <c r="AU28" s="622">
        <f>AT28+AQ28+AJ28+AC28+X28+Q28+J28</f>
        <v>7841997.8399999999</v>
      </c>
      <c r="AV28" s="649"/>
      <c r="AW28" s="612">
        <f t="shared" si="52"/>
        <v>65258.22</v>
      </c>
      <c r="AX28" s="648"/>
      <c r="AY28" s="612">
        <f t="shared" si="53"/>
        <v>81192.94</v>
      </c>
      <c r="AZ28" s="648"/>
      <c r="BA28" s="612">
        <f t="shared" si="54"/>
        <v>77353.2</v>
      </c>
      <c r="BB28" s="648"/>
      <c r="BC28" s="620">
        <f>ROUND((AW28*AX28+AY28*AZ28+BA28*BB28),2)</f>
        <v>0</v>
      </c>
      <c r="BD28" s="612">
        <f t="shared" si="55"/>
        <v>77787.27</v>
      </c>
      <c r="BE28" s="647"/>
      <c r="BF28" s="612">
        <f t="shared" si="56"/>
        <v>96908.93</v>
      </c>
      <c r="BG28" s="647"/>
      <c r="BH28" s="620">
        <f>ROUND((BD28*BE28+BF28*BG28),2)</f>
        <v>0</v>
      </c>
      <c r="BI28" s="623">
        <f>BH28+BC28</f>
        <v>0</v>
      </c>
      <c r="BJ28" s="612">
        <f t="shared" si="57"/>
        <v>25708.01</v>
      </c>
      <c r="BK28" s="647"/>
      <c r="BL28" s="612">
        <f t="shared" si="58"/>
        <v>27763.9</v>
      </c>
      <c r="BM28" s="647"/>
      <c r="BN28" s="612">
        <f t="shared" si="59"/>
        <v>23851.91</v>
      </c>
      <c r="BO28" s="647"/>
      <c r="BP28" s="620">
        <f>ROUND((BJ28*BK28+BL28*BM28+BN28*BO28),2)</f>
        <v>0</v>
      </c>
      <c r="BQ28" s="612">
        <f t="shared" si="60"/>
        <v>29360.82</v>
      </c>
      <c r="BR28" s="647"/>
      <c r="BS28" s="612">
        <f t="shared" si="61"/>
        <v>36645.26</v>
      </c>
      <c r="BT28" s="647"/>
      <c r="BU28" s="612">
        <f t="shared" si="62"/>
        <v>34889.949999999997</v>
      </c>
      <c r="BV28" s="647"/>
      <c r="BW28" s="620">
        <f>ROUND((BQ28*BR28+BS28*BT28+BU28*BV28),2)</f>
        <v>0</v>
      </c>
      <c r="BX28" s="650">
        <f>BV28+BT28+BR28+BO28+BM28+BK28+BG28+BE28+BB28+AZ28+AX28+AS28+AP28+AN28+AL28+AI28+AG28+AE28+AB28+Z28+W28+U28+S28+P28+N28+L28+I28+G28+E28</f>
        <v>217</v>
      </c>
      <c r="BY28" s="651"/>
      <c r="BZ28" s="651"/>
    </row>
    <row r="29" spans="1:78" s="652" customFormat="1" ht="15.75">
      <c r="A29" s="653"/>
      <c r="B29" s="628" t="s">
        <v>420</v>
      </c>
      <c r="C29" s="654" t="s">
        <v>412</v>
      </c>
      <c r="D29" s="612">
        <f t="shared" si="34"/>
        <v>31250.82</v>
      </c>
      <c r="E29" s="533">
        <v>0</v>
      </c>
      <c r="F29" s="612">
        <f t="shared" si="35"/>
        <v>38535.26</v>
      </c>
      <c r="G29" s="533">
        <v>0</v>
      </c>
      <c r="H29" s="612">
        <f t="shared" si="36"/>
        <v>36779.949999999997</v>
      </c>
      <c r="I29" s="533">
        <v>0</v>
      </c>
      <c r="J29" s="620">
        <f>ROUND((D29*E29+F29*G29+H29*I29),2)</f>
        <v>0</v>
      </c>
      <c r="K29" s="612">
        <f t="shared" si="37"/>
        <v>35546.49</v>
      </c>
      <c r="L29" s="533">
        <v>0</v>
      </c>
      <c r="M29" s="612">
        <f t="shared" si="38"/>
        <v>43923.6</v>
      </c>
      <c r="N29" s="533">
        <v>0</v>
      </c>
      <c r="O29" s="612">
        <f t="shared" si="39"/>
        <v>41904.99</v>
      </c>
      <c r="P29" s="533">
        <v>0</v>
      </c>
      <c r="Q29" s="620">
        <f>ROUND((K29*L29+M29*N29+O29*P29),2)</f>
        <v>0</v>
      </c>
      <c r="R29" s="612">
        <f t="shared" si="40"/>
        <v>41274.050000000003</v>
      </c>
      <c r="S29" s="533">
        <v>0</v>
      </c>
      <c r="T29" s="612">
        <f t="shared" si="41"/>
        <v>51108.05</v>
      </c>
      <c r="U29" s="533">
        <v>0</v>
      </c>
      <c r="V29" s="612">
        <f t="shared" si="42"/>
        <v>48738.38</v>
      </c>
      <c r="W29" s="655"/>
      <c r="X29" s="620">
        <f>ROUND((R29*S29+T29*U29+V29*W29),2)</f>
        <v>0</v>
      </c>
      <c r="Y29" s="612">
        <f t="shared" si="43"/>
        <v>45569.73</v>
      </c>
      <c r="Z29" s="655"/>
      <c r="AA29" s="612">
        <f t="shared" si="44"/>
        <v>56496.39</v>
      </c>
      <c r="AB29" s="655"/>
      <c r="AC29" s="620">
        <f>ROUND((Y29*Z29+AA29*AB29),2)</f>
        <v>0</v>
      </c>
      <c r="AD29" s="612">
        <f t="shared" si="45"/>
        <v>54161.08</v>
      </c>
      <c r="AE29" s="533">
        <v>0</v>
      </c>
      <c r="AF29" s="612">
        <f t="shared" si="46"/>
        <v>67273.070000000007</v>
      </c>
      <c r="AG29" s="533">
        <v>0</v>
      </c>
      <c r="AH29" s="612">
        <f t="shared" si="47"/>
        <v>64113.51</v>
      </c>
      <c r="AI29" s="533">
        <v>0</v>
      </c>
      <c r="AJ29" s="620">
        <f>ROUND((AD29*AE29+AF29*AG29+AH29*AI29),2)</f>
        <v>0</v>
      </c>
      <c r="AK29" s="612">
        <f t="shared" si="48"/>
        <v>29360.82</v>
      </c>
      <c r="AL29" s="655"/>
      <c r="AM29" s="612">
        <f t="shared" si="49"/>
        <v>36645.26</v>
      </c>
      <c r="AN29" s="655"/>
      <c r="AO29" s="612">
        <f t="shared" si="50"/>
        <v>34889.949999999997</v>
      </c>
      <c r="AP29" s="655"/>
      <c r="AQ29" s="620">
        <f>ROUND((AK29*AL29+AM29*AN29+AO29*AP29),2)</f>
        <v>0</v>
      </c>
      <c r="AR29" s="612">
        <f t="shared" si="51"/>
        <v>35718.379999999997</v>
      </c>
      <c r="AS29" s="533">
        <v>0</v>
      </c>
      <c r="AT29" s="620">
        <f>ROUND((AR29*AS29),2)</f>
        <v>0</v>
      </c>
      <c r="AU29" s="633">
        <f>AT29+AQ29+AJ29+AC29+X29+Q29+J29</f>
        <v>0</v>
      </c>
      <c r="AV29" s="655"/>
      <c r="AW29" s="612">
        <f t="shared" si="52"/>
        <v>65258.22</v>
      </c>
      <c r="AX29" s="655"/>
      <c r="AY29" s="612">
        <f t="shared" si="53"/>
        <v>81192.94</v>
      </c>
      <c r="AZ29" s="655"/>
      <c r="BA29" s="612">
        <f t="shared" si="54"/>
        <v>77353.2</v>
      </c>
      <c r="BB29" s="655"/>
      <c r="BC29" s="620">
        <f>ROUND((AW29*AX29+AY29*AZ29+BA29*BB29),2)</f>
        <v>0</v>
      </c>
      <c r="BD29" s="612">
        <f t="shared" si="55"/>
        <v>77787.27</v>
      </c>
      <c r="BE29" s="655"/>
      <c r="BF29" s="612">
        <f t="shared" si="56"/>
        <v>96908.93</v>
      </c>
      <c r="BG29" s="655"/>
      <c r="BH29" s="620">
        <f>ROUND((BD29*BE29+BF29*BG29),2)</f>
        <v>0</v>
      </c>
      <c r="BI29" s="623">
        <f>BH29+BC29</f>
        <v>0</v>
      </c>
      <c r="BJ29" s="612">
        <f t="shared" si="57"/>
        <v>25708.01</v>
      </c>
      <c r="BK29" s="655"/>
      <c r="BL29" s="612">
        <f t="shared" si="58"/>
        <v>27763.9</v>
      </c>
      <c r="BM29" s="655"/>
      <c r="BN29" s="612">
        <f t="shared" si="59"/>
        <v>23851.91</v>
      </c>
      <c r="BO29" s="655"/>
      <c r="BP29" s="620">
        <f>ROUND((BJ29*BK29+BL29*BM29+BN29*BO29),2)</f>
        <v>0</v>
      </c>
      <c r="BQ29" s="612">
        <f t="shared" si="60"/>
        <v>29360.82</v>
      </c>
      <c r="BR29" s="655"/>
      <c r="BS29" s="612">
        <f t="shared" si="61"/>
        <v>36645.26</v>
      </c>
      <c r="BT29" s="655"/>
      <c r="BU29" s="612">
        <f t="shared" si="62"/>
        <v>34889.949999999997</v>
      </c>
      <c r="BV29" s="655"/>
      <c r="BW29" s="620">
        <f>ROUND((BQ29*BR29+BS29*BT29+BU29*BV29),2)</f>
        <v>0</v>
      </c>
      <c r="BX29" s="650">
        <f>BV29+BT29+BR29+BO29+BM29+BK29+BG29+BE29+BB29+AZ29+AX29+AS29+AP29+AN29+AL29+AI29+AG29+AE29+AB29+Z29+W29+U29+S29+P29+N29+L29+I29+G29+E29</f>
        <v>0</v>
      </c>
      <c r="BY29" s="651"/>
      <c r="BZ29" s="651"/>
    </row>
    <row r="30" spans="1:78" s="644" customFormat="1" ht="15.75">
      <c r="A30" s="638"/>
      <c r="B30" s="639" t="s">
        <v>421</v>
      </c>
      <c r="C30" s="640"/>
      <c r="D30" s="612">
        <f t="shared" si="34"/>
        <v>31250.82</v>
      </c>
      <c r="E30" s="534">
        <f>E29+E28</f>
        <v>88</v>
      </c>
      <c r="F30" s="612">
        <f t="shared" si="35"/>
        <v>38535.26</v>
      </c>
      <c r="G30" s="534">
        <f>G29+G28</f>
        <v>93</v>
      </c>
      <c r="H30" s="612">
        <f t="shared" si="36"/>
        <v>36779.949999999997</v>
      </c>
      <c r="I30" s="534">
        <f>I29+I28</f>
        <v>29</v>
      </c>
      <c r="J30" s="641">
        <f>SUM(J28:J29)</f>
        <v>7400469.8899999997</v>
      </c>
      <c r="K30" s="612">
        <f t="shared" si="37"/>
        <v>35546.49</v>
      </c>
      <c r="L30" s="534">
        <f>L29+L28</f>
        <v>0</v>
      </c>
      <c r="M30" s="612">
        <f t="shared" si="38"/>
        <v>43923.6</v>
      </c>
      <c r="N30" s="534">
        <f>N29+N28</f>
        <v>0</v>
      </c>
      <c r="O30" s="612">
        <f t="shared" si="39"/>
        <v>41904.99</v>
      </c>
      <c r="P30" s="534">
        <f>P29+P28</f>
        <v>0</v>
      </c>
      <c r="Q30" s="641">
        <f>SUM(Q28:Q29)</f>
        <v>0</v>
      </c>
      <c r="R30" s="612">
        <f t="shared" si="40"/>
        <v>41274.050000000003</v>
      </c>
      <c r="S30" s="534">
        <f>S29+S28</f>
        <v>0</v>
      </c>
      <c r="T30" s="612">
        <f t="shared" si="41"/>
        <v>51108.05</v>
      </c>
      <c r="U30" s="534">
        <f>U29+U28</f>
        <v>0</v>
      </c>
      <c r="V30" s="612">
        <f t="shared" si="42"/>
        <v>48738.38</v>
      </c>
      <c r="W30" s="641">
        <f>SUM(W28:W29)</f>
        <v>0</v>
      </c>
      <c r="X30" s="641">
        <f>SUM(X28:X29)</f>
        <v>0</v>
      </c>
      <c r="Y30" s="612">
        <f t="shared" si="43"/>
        <v>45569.73</v>
      </c>
      <c r="Z30" s="641">
        <f>SUM(Z28:Z29)</f>
        <v>0</v>
      </c>
      <c r="AA30" s="612">
        <f t="shared" si="44"/>
        <v>56496.39</v>
      </c>
      <c r="AB30" s="641">
        <f>SUM(AB28:AB29)</f>
        <v>0</v>
      </c>
      <c r="AC30" s="641">
        <f>SUM(AC28:AC29)</f>
        <v>0</v>
      </c>
      <c r="AD30" s="612">
        <f t="shared" si="45"/>
        <v>54161.08</v>
      </c>
      <c r="AE30" s="534">
        <f>AE29+AE28</f>
        <v>2</v>
      </c>
      <c r="AF30" s="612">
        <f t="shared" si="46"/>
        <v>67273.070000000007</v>
      </c>
      <c r="AG30" s="534">
        <f>AG29+AG28</f>
        <v>4</v>
      </c>
      <c r="AH30" s="612">
        <f t="shared" si="47"/>
        <v>64113.51</v>
      </c>
      <c r="AI30" s="534">
        <f>AI29+AI28</f>
        <v>1</v>
      </c>
      <c r="AJ30" s="641">
        <f>SUM(AJ28:AJ29)</f>
        <v>441527.95</v>
      </c>
      <c r="AK30" s="612">
        <f t="shared" si="48"/>
        <v>29360.82</v>
      </c>
      <c r="AL30" s="641">
        <f>SUM(AL28:AL29)</f>
        <v>0</v>
      </c>
      <c r="AM30" s="612">
        <f t="shared" si="49"/>
        <v>36645.26</v>
      </c>
      <c r="AN30" s="641">
        <f>SUM(AN28:AN29)</f>
        <v>0</v>
      </c>
      <c r="AO30" s="612">
        <f t="shared" si="50"/>
        <v>34889.949999999997</v>
      </c>
      <c r="AP30" s="641">
        <f>SUM(AP28:AP29)</f>
        <v>0</v>
      </c>
      <c r="AQ30" s="641">
        <f>SUM(AQ28:AQ29)</f>
        <v>0</v>
      </c>
      <c r="AR30" s="612">
        <f t="shared" si="51"/>
        <v>35718.379999999997</v>
      </c>
      <c r="AS30" s="534">
        <f>AS29+AS28</f>
        <v>0</v>
      </c>
      <c r="AT30" s="641">
        <f>SUM(AT28:AT29)</f>
        <v>0</v>
      </c>
      <c r="AU30" s="1062">
        <f>SUM(AU28:AU29)</f>
        <v>7841997.8399999999</v>
      </c>
      <c r="AV30" s="641">
        <f>SUM(AV28:AV29)</f>
        <v>0</v>
      </c>
      <c r="AW30" s="612">
        <f t="shared" si="52"/>
        <v>65258.22</v>
      </c>
      <c r="AX30" s="641">
        <f>SUM(AX28:AX29)</f>
        <v>0</v>
      </c>
      <c r="AY30" s="612">
        <f t="shared" si="53"/>
        <v>81192.94</v>
      </c>
      <c r="AZ30" s="641">
        <f>SUM(AZ28:AZ29)</f>
        <v>0</v>
      </c>
      <c r="BA30" s="612">
        <f t="shared" si="54"/>
        <v>77353.2</v>
      </c>
      <c r="BB30" s="641">
        <f>SUM(BB28:BB29)</f>
        <v>0</v>
      </c>
      <c r="BC30" s="641">
        <f>SUM(BC28:BC29)</f>
        <v>0</v>
      </c>
      <c r="BD30" s="612">
        <f t="shared" si="55"/>
        <v>77787.27</v>
      </c>
      <c r="BE30" s="641">
        <f>SUM(BE28:BE29)</f>
        <v>0</v>
      </c>
      <c r="BF30" s="612">
        <f t="shared" si="56"/>
        <v>96908.93</v>
      </c>
      <c r="BG30" s="641">
        <f>SUM(BG28:BG29)</f>
        <v>0</v>
      </c>
      <c r="BH30" s="641">
        <f>SUM(BH28:BH29)</f>
        <v>0</v>
      </c>
      <c r="BI30" s="641">
        <f>SUM(BI28:BI29)</f>
        <v>0</v>
      </c>
      <c r="BJ30" s="612">
        <f t="shared" si="57"/>
        <v>25708.01</v>
      </c>
      <c r="BK30" s="641">
        <f>SUM(BK28:BK29)</f>
        <v>0</v>
      </c>
      <c r="BL30" s="612">
        <f t="shared" si="58"/>
        <v>27763.9</v>
      </c>
      <c r="BM30" s="641">
        <f>SUM(BM28:BM29)</f>
        <v>0</v>
      </c>
      <c r="BN30" s="612">
        <f t="shared" si="59"/>
        <v>23851.91</v>
      </c>
      <c r="BO30" s="641">
        <f>SUM(BO28:BO29)</f>
        <v>0</v>
      </c>
      <c r="BP30" s="641">
        <f>SUM(BP28:BP29)</f>
        <v>0</v>
      </c>
      <c r="BQ30" s="612">
        <f t="shared" si="60"/>
        <v>29360.82</v>
      </c>
      <c r="BR30" s="641">
        <f t="shared" ref="BR30:BW30" si="65">SUM(BR28:BR29)</f>
        <v>0</v>
      </c>
      <c r="BS30" s="612">
        <f t="shared" si="61"/>
        <v>36645.26</v>
      </c>
      <c r="BT30" s="641">
        <f t="shared" si="65"/>
        <v>0</v>
      </c>
      <c r="BU30" s="612">
        <f t="shared" si="62"/>
        <v>34889.949999999997</v>
      </c>
      <c r="BV30" s="641">
        <f t="shared" si="65"/>
        <v>0</v>
      </c>
      <c r="BW30" s="641">
        <f t="shared" si="65"/>
        <v>0</v>
      </c>
      <c r="BX30" s="642">
        <f>SUM(BX28:BX29)</f>
        <v>217</v>
      </c>
      <c r="BY30" s="643"/>
      <c r="BZ30" s="643"/>
    </row>
    <row r="31" spans="1:78" s="652" customFormat="1" ht="15.75">
      <c r="A31" s="656">
        <v>3</v>
      </c>
      <c r="B31" s="618" t="s">
        <v>131</v>
      </c>
      <c r="C31" s="629" t="s">
        <v>390</v>
      </c>
      <c r="D31" s="612">
        <f t="shared" si="34"/>
        <v>31250.82</v>
      </c>
      <c r="E31" s="533">
        <v>64</v>
      </c>
      <c r="F31" s="612">
        <f t="shared" si="35"/>
        <v>38535.26</v>
      </c>
      <c r="G31" s="533">
        <v>93</v>
      </c>
      <c r="H31" s="612">
        <f t="shared" si="36"/>
        <v>36779.949999999997</v>
      </c>
      <c r="I31" s="533">
        <v>20</v>
      </c>
      <c r="J31" s="620">
        <f>ROUND((D31*E31+F31*G31+H31*I31),2)</f>
        <v>6319430.6600000001</v>
      </c>
      <c r="K31" s="612">
        <f t="shared" si="37"/>
        <v>35546.49</v>
      </c>
      <c r="L31" s="533"/>
      <c r="M31" s="612">
        <f t="shared" si="38"/>
        <v>43923.6</v>
      </c>
      <c r="N31" s="533"/>
      <c r="O31" s="612">
        <f t="shared" si="39"/>
        <v>41904.99</v>
      </c>
      <c r="P31" s="533"/>
      <c r="Q31" s="620">
        <f>ROUND((K31*L31+M31*N31+O31*P31),2)</f>
        <v>0</v>
      </c>
      <c r="R31" s="612">
        <f t="shared" si="40"/>
        <v>41274.050000000003</v>
      </c>
      <c r="S31" s="533"/>
      <c r="T31" s="612">
        <f t="shared" si="41"/>
        <v>51108.05</v>
      </c>
      <c r="U31" s="533"/>
      <c r="V31" s="612">
        <f t="shared" si="42"/>
        <v>48738.38</v>
      </c>
      <c r="W31" s="657"/>
      <c r="X31" s="620">
        <f>ROUND((R31*S31+T31*U31+V31*W31),2)</f>
        <v>0</v>
      </c>
      <c r="Y31" s="612">
        <f t="shared" si="43"/>
        <v>45569.73</v>
      </c>
      <c r="Z31" s="657"/>
      <c r="AA31" s="612">
        <f t="shared" si="44"/>
        <v>56496.39</v>
      </c>
      <c r="AB31" s="657"/>
      <c r="AC31" s="620">
        <f>ROUND((Y31*Z31+AA31*AB31),2)</f>
        <v>0</v>
      </c>
      <c r="AD31" s="612">
        <f t="shared" si="45"/>
        <v>54161.08</v>
      </c>
      <c r="AE31" s="533"/>
      <c r="AF31" s="612">
        <f t="shared" si="46"/>
        <v>67273.070000000007</v>
      </c>
      <c r="AG31" s="533">
        <v>1</v>
      </c>
      <c r="AH31" s="612">
        <f t="shared" si="47"/>
        <v>64113.51</v>
      </c>
      <c r="AI31" s="533"/>
      <c r="AJ31" s="620">
        <f>ROUND((AD31*AE31+AF31*AG31+AH31*AI31),2)</f>
        <v>67273.070000000007</v>
      </c>
      <c r="AK31" s="612">
        <f t="shared" si="48"/>
        <v>29360.82</v>
      </c>
      <c r="AL31" s="658"/>
      <c r="AM31" s="612">
        <f t="shared" si="49"/>
        <v>36645.26</v>
      </c>
      <c r="AN31" s="658"/>
      <c r="AO31" s="612">
        <f t="shared" si="50"/>
        <v>34889.949999999997</v>
      </c>
      <c r="AP31" s="658"/>
      <c r="AQ31" s="620">
        <f>ROUND((AK31*AL31+AM31*AN31+AO31*AP31),2)</f>
        <v>0</v>
      </c>
      <c r="AR31" s="612">
        <f t="shared" si="51"/>
        <v>35718.379999999997</v>
      </c>
      <c r="AS31" s="533"/>
      <c r="AT31" s="620">
        <f>ROUND((AR31*AS31),2)</f>
        <v>0</v>
      </c>
      <c r="AU31" s="622">
        <f>AT31+AQ31+AJ31+AC31+X31+Q31+J31</f>
        <v>6386703.7300000004</v>
      </c>
      <c r="AV31" s="658"/>
      <c r="AW31" s="612">
        <f t="shared" si="52"/>
        <v>65258.22</v>
      </c>
      <c r="AX31" s="659"/>
      <c r="AY31" s="612">
        <f t="shared" si="53"/>
        <v>81192.94</v>
      </c>
      <c r="AZ31" s="659"/>
      <c r="BA31" s="612">
        <f t="shared" si="54"/>
        <v>77353.2</v>
      </c>
      <c r="BB31" s="657"/>
      <c r="BC31" s="620">
        <f>ROUND((AW31*AX31+AY31*AZ31+BA31*BB31),2)</f>
        <v>0</v>
      </c>
      <c r="BD31" s="612">
        <f t="shared" si="55"/>
        <v>77787.27</v>
      </c>
      <c r="BE31" s="657"/>
      <c r="BF31" s="612">
        <f t="shared" si="56"/>
        <v>96908.93</v>
      </c>
      <c r="BG31" s="657"/>
      <c r="BH31" s="620">
        <f>ROUND((BD31*BE31+BF31*BG31),2)</f>
        <v>0</v>
      </c>
      <c r="BI31" s="623">
        <f>BH31+BC31</f>
        <v>0</v>
      </c>
      <c r="BJ31" s="612">
        <f t="shared" si="57"/>
        <v>25708.01</v>
      </c>
      <c r="BK31" s="657"/>
      <c r="BL31" s="612">
        <f t="shared" si="58"/>
        <v>27763.9</v>
      </c>
      <c r="BM31" s="657"/>
      <c r="BN31" s="612">
        <f t="shared" si="59"/>
        <v>23851.91</v>
      </c>
      <c r="BO31" s="657"/>
      <c r="BP31" s="620">
        <f>ROUND((BJ31*BK31+BL31*BM31+BN31*BO31),2)</f>
        <v>0</v>
      </c>
      <c r="BQ31" s="612">
        <f t="shared" si="60"/>
        <v>29360.82</v>
      </c>
      <c r="BR31" s="657"/>
      <c r="BS31" s="612">
        <f t="shared" si="61"/>
        <v>36645.26</v>
      </c>
      <c r="BT31" s="657"/>
      <c r="BU31" s="612">
        <f t="shared" si="62"/>
        <v>34889.949999999997</v>
      </c>
      <c r="BV31" s="657"/>
      <c r="BW31" s="620">
        <f>ROUND((BQ31*BR31+BS31*BT31+BU31*BV31),2)</f>
        <v>0</v>
      </c>
      <c r="BX31" s="650">
        <f>BV31+BT31+BR31+BO31+BM31+BK31+BG31+BE31+BB31+AZ31+AX31+AS31+AP31+AN31+AL31+AI31+AG31+AE31+AB31+Z31+W31+U31+S31+P31+N31+L31+I31+G31+E31</f>
        <v>178</v>
      </c>
      <c r="BY31" s="651"/>
      <c r="BZ31" s="651"/>
    </row>
    <row r="32" spans="1:78" s="652" customFormat="1" ht="15.75">
      <c r="A32" s="660"/>
      <c r="B32" s="628" t="s">
        <v>422</v>
      </c>
      <c r="C32" s="629" t="s">
        <v>412</v>
      </c>
      <c r="D32" s="612">
        <f t="shared" si="34"/>
        <v>31250.82</v>
      </c>
      <c r="E32" s="533">
        <v>13</v>
      </c>
      <c r="F32" s="612">
        <f t="shared" si="35"/>
        <v>38535.26</v>
      </c>
      <c r="G32" s="533">
        <v>17</v>
      </c>
      <c r="H32" s="612">
        <f t="shared" si="36"/>
        <v>36779.949999999997</v>
      </c>
      <c r="I32" s="533"/>
      <c r="J32" s="620">
        <f>ROUND((D32*E32+F32*G32+H32*I32),2)</f>
        <v>1061360.08</v>
      </c>
      <c r="K32" s="612">
        <f t="shared" si="37"/>
        <v>35546.49</v>
      </c>
      <c r="L32" s="533"/>
      <c r="M32" s="612">
        <f t="shared" si="38"/>
        <v>43923.6</v>
      </c>
      <c r="N32" s="533"/>
      <c r="O32" s="612">
        <f t="shared" si="39"/>
        <v>41904.99</v>
      </c>
      <c r="P32" s="533"/>
      <c r="Q32" s="620">
        <f>ROUND((K32*L32+M32*N32+O32*P32),2)</f>
        <v>0</v>
      </c>
      <c r="R32" s="612">
        <f t="shared" si="40"/>
        <v>41274.050000000003</v>
      </c>
      <c r="S32" s="533"/>
      <c r="T32" s="612">
        <f t="shared" si="41"/>
        <v>51108.05</v>
      </c>
      <c r="U32" s="533"/>
      <c r="V32" s="612">
        <f t="shared" si="42"/>
        <v>48738.38</v>
      </c>
      <c r="W32" s="657"/>
      <c r="X32" s="620">
        <f>ROUND((R32*S32+T32*U32+V32*W32),2)</f>
        <v>0</v>
      </c>
      <c r="Y32" s="612">
        <f t="shared" si="43"/>
        <v>45569.73</v>
      </c>
      <c r="Z32" s="657"/>
      <c r="AA32" s="612">
        <f t="shared" si="44"/>
        <v>56496.39</v>
      </c>
      <c r="AB32" s="657"/>
      <c r="AC32" s="620">
        <f>ROUND((Y32*Z32+AA32*AB32),2)</f>
        <v>0</v>
      </c>
      <c r="AD32" s="612">
        <f t="shared" si="45"/>
        <v>54161.08</v>
      </c>
      <c r="AE32" s="533"/>
      <c r="AF32" s="612">
        <f t="shared" si="46"/>
        <v>67273.070000000007</v>
      </c>
      <c r="AG32" s="533"/>
      <c r="AH32" s="612">
        <f t="shared" si="47"/>
        <v>64113.51</v>
      </c>
      <c r="AI32" s="533"/>
      <c r="AJ32" s="620">
        <f>ROUND((AD32*AE32+AF32*AG32+AH32*AI32),2)</f>
        <v>0</v>
      </c>
      <c r="AK32" s="612">
        <f t="shared" si="48"/>
        <v>29360.82</v>
      </c>
      <c r="AL32" s="658"/>
      <c r="AM32" s="612">
        <f t="shared" si="49"/>
        <v>36645.26</v>
      </c>
      <c r="AN32" s="658"/>
      <c r="AO32" s="612">
        <f t="shared" si="50"/>
        <v>34889.949999999997</v>
      </c>
      <c r="AP32" s="658"/>
      <c r="AQ32" s="620">
        <f>ROUND((AK32*AL32+AM32*AN32+AO32*AP32),2)</f>
        <v>0</v>
      </c>
      <c r="AR32" s="612">
        <f t="shared" si="51"/>
        <v>35718.379999999997</v>
      </c>
      <c r="AS32" s="533"/>
      <c r="AT32" s="620">
        <f>ROUND((AR32*AS32),2)</f>
        <v>0</v>
      </c>
      <c r="AU32" s="633">
        <f>AT32+AQ32+AJ32+AC32+X32+Q32+J32</f>
        <v>1061360.08</v>
      </c>
      <c r="AV32" s="658"/>
      <c r="AW32" s="612">
        <f t="shared" si="52"/>
        <v>65258.22</v>
      </c>
      <c r="AX32" s="659"/>
      <c r="AY32" s="612">
        <f t="shared" si="53"/>
        <v>81192.94</v>
      </c>
      <c r="AZ32" s="651"/>
      <c r="BA32" s="612">
        <f t="shared" si="54"/>
        <v>77353.2</v>
      </c>
      <c r="BB32" s="657"/>
      <c r="BC32" s="620">
        <f>ROUND((AW32*AX32+AY32*AZ32+BA32*BB32),2)</f>
        <v>0</v>
      </c>
      <c r="BD32" s="612">
        <f t="shared" si="55"/>
        <v>77787.27</v>
      </c>
      <c r="BE32" s="657"/>
      <c r="BF32" s="612">
        <f t="shared" si="56"/>
        <v>96908.93</v>
      </c>
      <c r="BG32" s="657"/>
      <c r="BH32" s="620">
        <f>ROUND((BD32*BE32+BF32*BG32),2)</f>
        <v>0</v>
      </c>
      <c r="BI32" s="623">
        <f>BH32+BC32</f>
        <v>0</v>
      </c>
      <c r="BJ32" s="612">
        <f t="shared" si="57"/>
        <v>25708.01</v>
      </c>
      <c r="BK32" s="657"/>
      <c r="BL32" s="612">
        <f t="shared" si="58"/>
        <v>27763.9</v>
      </c>
      <c r="BM32" s="657"/>
      <c r="BN32" s="612">
        <f t="shared" si="59"/>
        <v>23851.91</v>
      </c>
      <c r="BO32" s="657"/>
      <c r="BP32" s="620">
        <f>ROUND((BJ32*BK32+BL32*BM32+BN32*BO32),2)</f>
        <v>0</v>
      </c>
      <c r="BQ32" s="612">
        <f t="shared" si="60"/>
        <v>29360.82</v>
      </c>
      <c r="BR32" s="657"/>
      <c r="BS32" s="612">
        <f t="shared" si="61"/>
        <v>36645.26</v>
      </c>
      <c r="BT32" s="657"/>
      <c r="BU32" s="612">
        <f t="shared" si="62"/>
        <v>34889.949999999997</v>
      </c>
      <c r="BV32" s="657"/>
      <c r="BW32" s="620">
        <f>ROUND((BQ32*BR32+BS32*BT32+BU32*BV32),2)</f>
        <v>0</v>
      </c>
      <c r="BX32" s="650">
        <f>BV32+BT32+BR32+BO32+BM32+BK32+BG32+BE32+BB32+AZ32+AX32+AS32+AP32+AN32+AL32+AI32+AG32+AE32+AB32+Z32+W32+U32+S32+P32+N32+L32+I32+G32+E32</f>
        <v>30</v>
      </c>
      <c r="BY32" s="651"/>
      <c r="BZ32" s="651"/>
    </row>
    <row r="33" spans="1:78" s="652" customFormat="1" ht="15.75">
      <c r="A33" s="660"/>
      <c r="B33" s="628" t="s">
        <v>423</v>
      </c>
      <c r="C33" s="629" t="s">
        <v>412</v>
      </c>
      <c r="D33" s="612">
        <f t="shared" si="34"/>
        <v>31250.82</v>
      </c>
      <c r="E33" s="533">
        <v>17</v>
      </c>
      <c r="F33" s="612">
        <f t="shared" si="35"/>
        <v>38535.26</v>
      </c>
      <c r="G33" s="533"/>
      <c r="H33" s="612">
        <f t="shared" si="36"/>
        <v>36779.949999999997</v>
      </c>
      <c r="I33" s="533"/>
      <c r="J33" s="620">
        <f>ROUND((D33*E33+F33*G33+H33*I33),2)</f>
        <v>531263.93999999994</v>
      </c>
      <c r="K33" s="612">
        <f t="shared" si="37"/>
        <v>35546.49</v>
      </c>
      <c r="L33" s="533"/>
      <c r="M33" s="612">
        <f t="shared" si="38"/>
        <v>43923.6</v>
      </c>
      <c r="N33" s="533"/>
      <c r="O33" s="612">
        <f t="shared" si="39"/>
        <v>41904.99</v>
      </c>
      <c r="P33" s="533"/>
      <c r="Q33" s="620">
        <f>ROUND((K33*L33+M33*N33+O33*P33),2)</f>
        <v>0</v>
      </c>
      <c r="R33" s="612">
        <f t="shared" si="40"/>
        <v>41274.050000000003</v>
      </c>
      <c r="S33" s="533"/>
      <c r="T33" s="612">
        <f t="shared" si="41"/>
        <v>51108.05</v>
      </c>
      <c r="U33" s="533"/>
      <c r="V33" s="612">
        <f t="shared" si="42"/>
        <v>48738.38</v>
      </c>
      <c r="W33" s="655"/>
      <c r="X33" s="620">
        <f>ROUND((R33*S33+T33*U33+V33*W33),2)</f>
        <v>0</v>
      </c>
      <c r="Y33" s="612">
        <f t="shared" si="43"/>
        <v>45569.73</v>
      </c>
      <c r="Z33" s="655"/>
      <c r="AA33" s="612">
        <f t="shared" si="44"/>
        <v>56496.39</v>
      </c>
      <c r="AB33" s="655"/>
      <c r="AC33" s="620">
        <f>ROUND((Y33*Z33+AA33*AB33),2)</f>
        <v>0</v>
      </c>
      <c r="AD33" s="612">
        <f t="shared" si="45"/>
        <v>54161.08</v>
      </c>
      <c r="AE33" s="533"/>
      <c r="AF33" s="612">
        <f t="shared" si="46"/>
        <v>67273.070000000007</v>
      </c>
      <c r="AG33" s="533"/>
      <c r="AH33" s="612">
        <f t="shared" si="47"/>
        <v>64113.51</v>
      </c>
      <c r="AI33" s="533"/>
      <c r="AJ33" s="620">
        <f>ROUND((AD33*AE33+AF33*AG33+AH33*AI33),2)</f>
        <v>0</v>
      </c>
      <c r="AK33" s="612">
        <f t="shared" si="48"/>
        <v>29360.82</v>
      </c>
      <c r="AL33" s="655"/>
      <c r="AM33" s="612">
        <f t="shared" si="49"/>
        <v>36645.26</v>
      </c>
      <c r="AN33" s="655"/>
      <c r="AO33" s="612">
        <f t="shared" si="50"/>
        <v>34889.949999999997</v>
      </c>
      <c r="AP33" s="655"/>
      <c r="AQ33" s="620">
        <f>ROUND((AK33*AL33+AM33*AN33+AO33*AP33),2)</f>
        <v>0</v>
      </c>
      <c r="AR33" s="612">
        <f t="shared" si="51"/>
        <v>35718.379999999997</v>
      </c>
      <c r="AS33" s="533"/>
      <c r="AT33" s="620">
        <f>ROUND((AR33*AS33),2)</f>
        <v>0</v>
      </c>
      <c r="AU33" s="633">
        <f>AT33+AQ33+AJ33+AC33+X33+Q33+J33</f>
        <v>531263.93999999994</v>
      </c>
      <c r="AV33" s="655"/>
      <c r="AW33" s="612">
        <f t="shared" si="52"/>
        <v>65258.22</v>
      </c>
      <c r="AX33" s="655"/>
      <c r="AY33" s="612">
        <f t="shared" si="53"/>
        <v>81192.94</v>
      </c>
      <c r="AZ33" s="655"/>
      <c r="BA33" s="612">
        <f t="shared" si="54"/>
        <v>77353.2</v>
      </c>
      <c r="BB33" s="655"/>
      <c r="BC33" s="620">
        <f>ROUND((AW33*AX33+AY33*AZ33+BA33*BB33),2)</f>
        <v>0</v>
      </c>
      <c r="BD33" s="612">
        <f t="shared" si="55"/>
        <v>77787.27</v>
      </c>
      <c r="BE33" s="655"/>
      <c r="BF33" s="612">
        <f t="shared" si="56"/>
        <v>96908.93</v>
      </c>
      <c r="BG33" s="655"/>
      <c r="BH33" s="620">
        <f>ROUND((BD33*BE33+BF33*BG33),2)</f>
        <v>0</v>
      </c>
      <c r="BI33" s="623">
        <f>BH33+BC33</f>
        <v>0</v>
      </c>
      <c r="BJ33" s="612">
        <f t="shared" si="57"/>
        <v>25708.01</v>
      </c>
      <c r="BK33" s="655"/>
      <c r="BL33" s="612">
        <f t="shared" si="58"/>
        <v>27763.9</v>
      </c>
      <c r="BM33" s="655"/>
      <c r="BN33" s="612">
        <f t="shared" si="59"/>
        <v>23851.91</v>
      </c>
      <c r="BO33" s="655"/>
      <c r="BP33" s="620">
        <f>ROUND((BJ33*BK33+BL33*BM33+BN33*BO33),2)</f>
        <v>0</v>
      </c>
      <c r="BQ33" s="612">
        <f t="shared" si="60"/>
        <v>29360.82</v>
      </c>
      <c r="BR33" s="655"/>
      <c r="BS33" s="612">
        <f t="shared" si="61"/>
        <v>36645.26</v>
      </c>
      <c r="BT33" s="655"/>
      <c r="BU33" s="612">
        <f t="shared" si="62"/>
        <v>34889.949999999997</v>
      </c>
      <c r="BV33" s="655"/>
      <c r="BW33" s="620">
        <f>ROUND((BQ33*BR33+BS33*BT33+BU33*BV33),2)</f>
        <v>0</v>
      </c>
      <c r="BX33" s="650">
        <f>BV33+BT33+BR33+BO33+BM33+BK33+BG33+BE33+BB33+AZ33+AX33+AS33+AP33+AN33+AL33+AI33+AG33+AE33+AB33+Z33+W33+U33+S33+P33+N33+L33+I33+G33+E33</f>
        <v>17</v>
      </c>
      <c r="BY33" s="651"/>
      <c r="BZ33" s="651"/>
    </row>
    <row r="34" spans="1:78" s="652" customFormat="1" ht="15.75">
      <c r="A34" s="660"/>
      <c r="B34" s="628" t="s">
        <v>424</v>
      </c>
      <c r="C34" s="629" t="s">
        <v>412</v>
      </c>
      <c r="D34" s="612">
        <f t="shared" si="34"/>
        <v>31250.82</v>
      </c>
      <c r="E34" s="535">
        <v>29</v>
      </c>
      <c r="F34" s="612">
        <f t="shared" si="35"/>
        <v>38535.26</v>
      </c>
      <c r="G34" s="535">
        <v>34</v>
      </c>
      <c r="H34" s="612">
        <f t="shared" si="36"/>
        <v>36779.949999999997</v>
      </c>
      <c r="I34" s="535"/>
      <c r="J34" s="620">
        <f>ROUND((D34*E34+F34*G34+H34*I34),2)</f>
        <v>2216472.62</v>
      </c>
      <c r="K34" s="612">
        <f t="shared" si="37"/>
        <v>35546.49</v>
      </c>
      <c r="L34" s="535"/>
      <c r="M34" s="612">
        <f t="shared" si="38"/>
        <v>43923.6</v>
      </c>
      <c r="N34" s="535"/>
      <c r="O34" s="612">
        <f t="shared" si="39"/>
        <v>41904.99</v>
      </c>
      <c r="P34" s="535"/>
      <c r="Q34" s="620">
        <f>ROUND((K34*L34+M34*N34+O34*P34),2)</f>
        <v>0</v>
      </c>
      <c r="R34" s="612">
        <f t="shared" si="40"/>
        <v>41274.050000000003</v>
      </c>
      <c r="S34" s="535"/>
      <c r="T34" s="612">
        <f t="shared" si="41"/>
        <v>51108.05</v>
      </c>
      <c r="U34" s="535"/>
      <c r="V34" s="612">
        <f t="shared" si="42"/>
        <v>48738.38</v>
      </c>
      <c r="W34" s="647"/>
      <c r="X34" s="620">
        <f>ROUND((R34*S34+T34*U34+V34*W34),2)</f>
        <v>0</v>
      </c>
      <c r="Y34" s="612">
        <f t="shared" si="43"/>
        <v>45569.73</v>
      </c>
      <c r="Z34" s="647"/>
      <c r="AA34" s="612">
        <f t="shared" si="44"/>
        <v>56496.39</v>
      </c>
      <c r="AB34" s="647"/>
      <c r="AC34" s="620">
        <f>ROUND((Y34*Z34+AA34*AB34),2)</f>
        <v>0</v>
      </c>
      <c r="AD34" s="612">
        <f t="shared" si="45"/>
        <v>54161.08</v>
      </c>
      <c r="AE34" s="535"/>
      <c r="AF34" s="612">
        <f t="shared" si="46"/>
        <v>67273.070000000007</v>
      </c>
      <c r="AG34" s="535"/>
      <c r="AH34" s="612">
        <f t="shared" si="47"/>
        <v>64113.51</v>
      </c>
      <c r="AI34" s="535"/>
      <c r="AJ34" s="620">
        <f>ROUND((AD34*AE34+AF34*AG34+AH34*AI34),2)</f>
        <v>0</v>
      </c>
      <c r="AK34" s="612">
        <f t="shared" si="48"/>
        <v>29360.82</v>
      </c>
      <c r="AL34" s="648"/>
      <c r="AM34" s="612">
        <f t="shared" si="49"/>
        <v>36645.26</v>
      </c>
      <c r="AN34" s="648"/>
      <c r="AO34" s="612">
        <f t="shared" si="50"/>
        <v>34889.949999999997</v>
      </c>
      <c r="AP34" s="648"/>
      <c r="AQ34" s="620">
        <f>ROUND((AK34*AL34+AM34*AN34+AO34*AP34),2)</f>
        <v>0</v>
      </c>
      <c r="AR34" s="612">
        <f t="shared" si="51"/>
        <v>35718.379999999997</v>
      </c>
      <c r="AS34" s="535"/>
      <c r="AT34" s="620">
        <f>ROUND((AR34*AS34),2)</f>
        <v>0</v>
      </c>
      <c r="AU34" s="633">
        <f>AT34+AQ34+AJ34+AC34+X34+Q34+J34</f>
        <v>2216472.62</v>
      </c>
      <c r="AV34" s="658"/>
      <c r="AW34" s="612">
        <f t="shared" si="52"/>
        <v>65258.22</v>
      </c>
      <c r="AX34" s="661"/>
      <c r="AY34" s="612">
        <f t="shared" si="53"/>
        <v>81192.94</v>
      </c>
      <c r="AZ34" s="661"/>
      <c r="BA34" s="612">
        <f t="shared" si="54"/>
        <v>77353.2</v>
      </c>
      <c r="BB34" s="661"/>
      <c r="BC34" s="620">
        <f>ROUND((AW34*AX34+AY34*AZ34+BA34*BB34),2)</f>
        <v>0</v>
      </c>
      <c r="BD34" s="612">
        <f t="shared" si="55"/>
        <v>77787.27</v>
      </c>
      <c r="BE34" s="647"/>
      <c r="BF34" s="612">
        <f t="shared" si="56"/>
        <v>96908.93</v>
      </c>
      <c r="BG34" s="647"/>
      <c r="BH34" s="620">
        <f>ROUND((BD34*BE34+BF34*BG34),2)</f>
        <v>0</v>
      </c>
      <c r="BI34" s="623">
        <f>BH34+BC34</f>
        <v>0</v>
      </c>
      <c r="BJ34" s="612">
        <f t="shared" si="57"/>
        <v>25708.01</v>
      </c>
      <c r="BK34" s="647"/>
      <c r="BL34" s="612">
        <f t="shared" si="58"/>
        <v>27763.9</v>
      </c>
      <c r="BM34" s="647"/>
      <c r="BN34" s="612">
        <f t="shared" si="59"/>
        <v>23851.91</v>
      </c>
      <c r="BO34" s="647"/>
      <c r="BP34" s="620">
        <f>ROUND((BJ34*BK34+BL34*BM34+BN34*BO34),2)</f>
        <v>0</v>
      </c>
      <c r="BQ34" s="612">
        <f t="shared" si="60"/>
        <v>29360.82</v>
      </c>
      <c r="BR34" s="647"/>
      <c r="BS34" s="612">
        <f t="shared" si="61"/>
        <v>36645.26</v>
      </c>
      <c r="BT34" s="647"/>
      <c r="BU34" s="612">
        <f t="shared" si="62"/>
        <v>34889.949999999997</v>
      </c>
      <c r="BV34" s="647"/>
      <c r="BW34" s="620">
        <f>ROUND((BQ34*BR34+BS34*BT34+BU34*BV34),2)</f>
        <v>0</v>
      </c>
      <c r="BX34" s="650">
        <f>BV34+BT34+BR34+BO34+BM34+BK34+BG34+BE34+BB34+AZ34+AX34+AS34+AP34+AN34+AL34+AI34+AG34+AE34+AB34+Z34+W34+U34+S34+P34+N34+L34+I34+G34+E34</f>
        <v>63</v>
      </c>
      <c r="BY34" s="651"/>
      <c r="BZ34" s="651"/>
    </row>
    <row r="35" spans="1:78" s="652" customFormat="1" ht="15.75">
      <c r="A35" s="660"/>
      <c r="B35" s="629" t="s">
        <v>425</v>
      </c>
      <c r="C35" s="629" t="s">
        <v>412</v>
      </c>
      <c r="D35" s="612">
        <f t="shared" si="34"/>
        <v>31250.82</v>
      </c>
      <c r="E35" s="533">
        <v>9</v>
      </c>
      <c r="F35" s="612">
        <f t="shared" si="35"/>
        <v>38535.26</v>
      </c>
      <c r="G35" s="533">
        <v>25</v>
      </c>
      <c r="H35" s="612">
        <f t="shared" si="36"/>
        <v>36779.949999999997</v>
      </c>
      <c r="I35" s="533"/>
      <c r="J35" s="620">
        <f>ROUND((D35*E35+F35*G35+H35*I35),2)</f>
        <v>1244638.8799999999</v>
      </c>
      <c r="K35" s="612">
        <f t="shared" si="37"/>
        <v>35546.49</v>
      </c>
      <c r="L35" s="533"/>
      <c r="M35" s="612">
        <f t="shared" si="38"/>
        <v>43923.6</v>
      </c>
      <c r="N35" s="533"/>
      <c r="O35" s="612">
        <f t="shared" si="39"/>
        <v>41904.99</v>
      </c>
      <c r="P35" s="533"/>
      <c r="Q35" s="620">
        <f>ROUND((K35*L35+M35*N35+O35*P35),2)</f>
        <v>0</v>
      </c>
      <c r="R35" s="612">
        <f t="shared" si="40"/>
        <v>41274.050000000003</v>
      </c>
      <c r="S35" s="533"/>
      <c r="T35" s="612">
        <f t="shared" si="41"/>
        <v>51108.05</v>
      </c>
      <c r="U35" s="533"/>
      <c r="V35" s="612">
        <f t="shared" si="42"/>
        <v>48738.38</v>
      </c>
      <c r="W35" s="647"/>
      <c r="X35" s="620">
        <f>ROUND((R35*S35+T35*U35+V35*W35),2)</f>
        <v>0</v>
      </c>
      <c r="Y35" s="612">
        <f t="shared" si="43"/>
        <v>45569.73</v>
      </c>
      <c r="Z35" s="647"/>
      <c r="AA35" s="612">
        <f t="shared" si="44"/>
        <v>56496.39</v>
      </c>
      <c r="AB35" s="647"/>
      <c r="AC35" s="620">
        <f>ROUND((Y35*Z35+AA35*AB35),2)</f>
        <v>0</v>
      </c>
      <c r="AD35" s="612">
        <f t="shared" si="45"/>
        <v>54161.08</v>
      </c>
      <c r="AE35" s="533"/>
      <c r="AF35" s="612">
        <f t="shared" si="46"/>
        <v>67273.070000000007</v>
      </c>
      <c r="AG35" s="533"/>
      <c r="AH35" s="612">
        <f t="shared" si="47"/>
        <v>64113.51</v>
      </c>
      <c r="AI35" s="533"/>
      <c r="AJ35" s="620">
        <f>ROUND((AD35*AE35+AF35*AG35+AH35*AI35),2)</f>
        <v>0</v>
      </c>
      <c r="AK35" s="612">
        <f t="shared" si="48"/>
        <v>29360.82</v>
      </c>
      <c r="AL35" s="648"/>
      <c r="AM35" s="612">
        <f t="shared" si="49"/>
        <v>36645.26</v>
      </c>
      <c r="AN35" s="648"/>
      <c r="AO35" s="612">
        <f t="shared" si="50"/>
        <v>34889.949999999997</v>
      </c>
      <c r="AP35" s="648"/>
      <c r="AQ35" s="620">
        <f>ROUND((AK35*AL35+AM35*AN35+AO35*AP35),2)</f>
        <v>0</v>
      </c>
      <c r="AR35" s="612">
        <f t="shared" si="51"/>
        <v>35718.379999999997</v>
      </c>
      <c r="AS35" s="533"/>
      <c r="AT35" s="620">
        <f>ROUND((AR35*AS35),2)</f>
        <v>0</v>
      </c>
      <c r="AU35" s="633">
        <f>AT35+AQ35+AJ35+AC35+X35+Q35+J35</f>
        <v>1244638.8799999999</v>
      </c>
      <c r="AV35" s="658"/>
      <c r="AW35" s="612">
        <f t="shared" si="52"/>
        <v>65258.22</v>
      </c>
      <c r="AX35" s="661"/>
      <c r="AY35" s="612">
        <f t="shared" si="53"/>
        <v>81192.94</v>
      </c>
      <c r="AZ35" s="661"/>
      <c r="BA35" s="612">
        <f t="shared" si="54"/>
        <v>77353.2</v>
      </c>
      <c r="BB35" s="661"/>
      <c r="BC35" s="620">
        <f>ROUND((AW35*AX35+AY35*AZ35+BA35*BB35),2)</f>
        <v>0</v>
      </c>
      <c r="BD35" s="612">
        <f t="shared" si="55"/>
        <v>77787.27</v>
      </c>
      <c r="BE35" s="647"/>
      <c r="BF35" s="612">
        <f t="shared" si="56"/>
        <v>96908.93</v>
      </c>
      <c r="BG35" s="647"/>
      <c r="BH35" s="620">
        <f>ROUND((BD35*BE35+BF35*BG35),2)</f>
        <v>0</v>
      </c>
      <c r="BI35" s="623">
        <f>BH35+BC35</f>
        <v>0</v>
      </c>
      <c r="BJ35" s="612">
        <f t="shared" si="57"/>
        <v>25708.01</v>
      </c>
      <c r="BK35" s="647"/>
      <c r="BL35" s="612">
        <f t="shared" si="58"/>
        <v>27763.9</v>
      </c>
      <c r="BM35" s="647"/>
      <c r="BN35" s="612">
        <f t="shared" si="59"/>
        <v>23851.91</v>
      </c>
      <c r="BO35" s="657"/>
      <c r="BP35" s="620">
        <f>ROUND((BJ35*BK35+BL35*BM35+BN35*BO35),2)</f>
        <v>0</v>
      </c>
      <c r="BQ35" s="612">
        <f t="shared" si="60"/>
        <v>29360.82</v>
      </c>
      <c r="BR35" s="647"/>
      <c r="BS35" s="612">
        <f t="shared" si="61"/>
        <v>36645.26</v>
      </c>
      <c r="BT35" s="647"/>
      <c r="BU35" s="612">
        <f t="shared" si="62"/>
        <v>34889.949999999997</v>
      </c>
      <c r="BV35" s="647"/>
      <c r="BW35" s="620">
        <f>ROUND((BQ35*BR35+BS35*BT35+BU35*BV35),2)</f>
        <v>0</v>
      </c>
      <c r="BX35" s="650">
        <f>BV35+BT35+BR35+BO35+BM35+BK35+BG35+BE35+BB35+AZ35+AX35+AS35+AP35+AN35+AL35+AI35+AG35+AE35+AB35+Z35+W35+U35+S35+P35+N35+L35+I35+G35+E35</f>
        <v>34</v>
      </c>
      <c r="BY35" s="651"/>
      <c r="BZ35" s="651"/>
    </row>
    <row r="36" spans="1:78" s="668" customFormat="1" ht="16.5">
      <c r="A36" s="662"/>
      <c r="B36" s="663" t="s">
        <v>426</v>
      </c>
      <c r="C36" s="664"/>
      <c r="D36" s="612">
        <f t="shared" si="34"/>
        <v>31250.82</v>
      </c>
      <c r="E36" s="536">
        <f>E35+E34+E33+E32+E31</f>
        <v>132</v>
      </c>
      <c r="F36" s="612">
        <f t="shared" si="35"/>
        <v>38535.26</v>
      </c>
      <c r="G36" s="536">
        <f>G35+G34+G33+G32+G31</f>
        <v>169</v>
      </c>
      <c r="H36" s="612">
        <f t="shared" si="36"/>
        <v>36779.949999999997</v>
      </c>
      <c r="I36" s="536">
        <f>I35+I34+I33+I32+I31</f>
        <v>20</v>
      </c>
      <c r="J36" s="665">
        <f>SUM(J31:J35)</f>
        <v>11373166.18</v>
      </c>
      <c r="K36" s="612">
        <f t="shared" si="37"/>
        <v>35546.49</v>
      </c>
      <c r="L36" s="536">
        <f>L35+L34+L33+L32</f>
        <v>0</v>
      </c>
      <c r="M36" s="612">
        <f t="shared" si="38"/>
        <v>43923.6</v>
      </c>
      <c r="N36" s="536">
        <f>N35+N34+N33+N32</f>
        <v>0</v>
      </c>
      <c r="O36" s="612">
        <f t="shared" si="39"/>
        <v>41904.99</v>
      </c>
      <c r="P36" s="536">
        <f>P35+P34+P33+P32</f>
        <v>0</v>
      </c>
      <c r="Q36" s="665">
        <f>SUM(Q31:Q35)</f>
        <v>0</v>
      </c>
      <c r="R36" s="612">
        <f t="shared" si="40"/>
        <v>41274.050000000003</v>
      </c>
      <c r="S36" s="536">
        <f>S35+S34+S33+S32</f>
        <v>0</v>
      </c>
      <c r="T36" s="612">
        <f t="shared" si="41"/>
        <v>51108.05</v>
      </c>
      <c r="U36" s="536">
        <f>U35+U34+U33+U32</f>
        <v>0</v>
      </c>
      <c r="V36" s="612">
        <f t="shared" si="42"/>
        <v>48738.38</v>
      </c>
      <c r="W36" s="665">
        <f>SUM(W31:W35)</f>
        <v>0</v>
      </c>
      <c r="X36" s="665">
        <f>SUM(X31:X35)</f>
        <v>0</v>
      </c>
      <c r="Y36" s="612">
        <f t="shared" si="43"/>
        <v>45569.73</v>
      </c>
      <c r="Z36" s="665">
        <f>SUM(Z31:Z35)</f>
        <v>0</v>
      </c>
      <c r="AA36" s="612">
        <f t="shared" si="44"/>
        <v>56496.39</v>
      </c>
      <c r="AB36" s="665">
        <f>SUM(AB31:AB35)</f>
        <v>0</v>
      </c>
      <c r="AC36" s="665">
        <f>SUM(AC31:AC35)</f>
        <v>0</v>
      </c>
      <c r="AD36" s="612">
        <f t="shared" si="45"/>
        <v>54161.08</v>
      </c>
      <c r="AE36" s="536">
        <f>AE35+AE34+AE33+AE32+AE31</f>
        <v>0</v>
      </c>
      <c r="AF36" s="612">
        <f t="shared" si="46"/>
        <v>67273.070000000007</v>
      </c>
      <c r="AG36" s="536">
        <f>AG35+AG34+AG33+AG32+AG31</f>
        <v>1</v>
      </c>
      <c r="AH36" s="612">
        <f t="shared" si="47"/>
        <v>64113.51</v>
      </c>
      <c r="AI36" s="536">
        <f>AI35+AI34+AI33+AI32+AI31</f>
        <v>0</v>
      </c>
      <c r="AJ36" s="665">
        <f>SUM(AJ31:AJ35)</f>
        <v>67273.070000000007</v>
      </c>
      <c r="AK36" s="612">
        <f t="shared" si="48"/>
        <v>29360.82</v>
      </c>
      <c r="AL36" s="665">
        <f>SUM(AL31:AL35)</f>
        <v>0</v>
      </c>
      <c r="AM36" s="612">
        <f t="shared" si="49"/>
        <v>36645.26</v>
      </c>
      <c r="AN36" s="665">
        <f>SUM(AN31:AN35)</f>
        <v>0</v>
      </c>
      <c r="AO36" s="612">
        <f t="shared" si="50"/>
        <v>34889.949999999997</v>
      </c>
      <c r="AP36" s="665">
        <f>SUM(AP31:AP35)</f>
        <v>0</v>
      </c>
      <c r="AQ36" s="665">
        <f>SUM(AQ31:AQ35)</f>
        <v>0</v>
      </c>
      <c r="AR36" s="612">
        <f t="shared" si="51"/>
        <v>35718.379999999997</v>
      </c>
      <c r="AS36" s="536">
        <f>AS35+AS34+AS33+AS32</f>
        <v>0</v>
      </c>
      <c r="AT36" s="665">
        <f>SUM(AT31:AT35)</f>
        <v>0</v>
      </c>
      <c r="AU36" s="1062">
        <f>SUM(AU31:AU35)</f>
        <v>11440439.25</v>
      </c>
      <c r="AV36" s="665">
        <f>SUM(AV31:AV35)</f>
        <v>0</v>
      </c>
      <c r="AW36" s="612">
        <f t="shared" si="52"/>
        <v>65258.22</v>
      </c>
      <c r="AX36" s="665">
        <f>SUM(AX31:AX35)</f>
        <v>0</v>
      </c>
      <c r="AY36" s="612">
        <f t="shared" si="53"/>
        <v>81192.94</v>
      </c>
      <c r="AZ36" s="665">
        <f>SUM(AZ31:AZ35)</f>
        <v>0</v>
      </c>
      <c r="BA36" s="612">
        <f t="shared" si="54"/>
        <v>77353.2</v>
      </c>
      <c r="BB36" s="665">
        <f>SUM(BB31:BB35)</f>
        <v>0</v>
      </c>
      <c r="BC36" s="665">
        <f>SUM(BC31:BC35)</f>
        <v>0</v>
      </c>
      <c r="BD36" s="612">
        <f t="shared" si="55"/>
        <v>77787.27</v>
      </c>
      <c r="BE36" s="665">
        <f>SUM(BE31:BE35)</f>
        <v>0</v>
      </c>
      <c r="BF36" s="612">
        <f t="shared" si="56"/>
        <v>96908.93</v>
      </c>
      <c r="BG36" s="665">
        <f>SUM(BG31:BG35)</f>
        <v>0</v>
      </c>
      <c r="BH36" s="665">
        <f>SUM(BH31:BH35)</f>
        <v>0</v>
      </c>
      <c r="BI36" s="665">
        <f>SUM(BI31:BI35)</f>
        <v>0</v>
      </c>
      <c r="BJ36" s="612">
        <f t="shared" si="57"/>
        <v>25708.01</v>
      </c>
      <c r="BK36" s="665">
        <f>SUM(BK31:BK35)</f>
        <v>0</v>
      </c>
      <c r="BL36" s="612">
        <f t="shared" si="58"/>
        <v>27763.9</v>
      </c>
      <c r="BM36" s="665">
        <f>SUM(BM31:BM35)</f>
        <v>0</v>
      </c>
      <c r="BN36" s="612">
        <f t="shared" si="59"/>
        <v>23851.91</v>
      </c>
      <c r="BO36" s="665">
        <f>SUM(BO31:BO35)</f>
        <v>0</v>
      </c>
      <c r="BP36" s="665">
        <f>SUM(BP31:BP35)</f>
        <v>0</v>
      </c>
      <c r="BQ36" s="612">
        <f t="shared" si="60"/>
        <v>29360.82</v>
      </c>
      <c r="BR36" s="665">
        <f t="shared" ref="BR36:BW36" si="66">SUM(BR31:BR35)</f>
        <v>0</v>
      </c>
      <c r="BS36" s="612">
        <f t="shared" si="61"/>
        <v>36645.26</v>
      </c>
      <c r="BT36" s="665">
        <f t="shared" si="66"/>
        <v>0</v>
      </c>
      <c r="BU36" s="612">
        <f t="shared" si="62"/>
        <v>34889.949999999997</v>
      </c>
      <c r="BV36" s="665">
        <f t="shared" si="66"/>
        <v>0</v>
      </c>
      <c r="BW36" s="665">
        <f t="shared" si="66"/>
        <v>0</v>
      </c>
      <c r="BX36" s="666">
        <f>SUM(BX31:BX35)</f>
        <v>322</v>
      </c>
      <c r="BY36" s="667"/>
      <c r="BZ36" s="667"/>
    </row>
    <row r="37" spans="1:78" s="637" customFormat="1" ht="17.25" thickBot="1">
      <c r="A37" s="669"/>
      <c r="B37" s="670" t="s">
        <v>401</v>
      </c>
      <c r="C37" s="670"/>
      <c r="D37" s="612">
        <f t="shared" si="34"/>
        <v>31250.82</v>
      </c>
      <c r="E37" s="671">
        <f>E27+E30+E36</f>
        <v>402</v>
      </c>
      <c r="F37" s="612">
        <f t="shared" si="35"/>
        <v>38535.26</v>
      </c>
      <c r="G37" s="671">
        <f>G27+G30+G36</f>
        <v>475</v>
      </c>
      <c r="H37" s="612">
        <f t="shared" si="36"/>
        <v>36779.949999999997</v>
      </c>
      <c r="I37" s="671">
        <f>I27+I30+I36</f>
        <v>88</v>
      </c>
      <c r="J37" s="671">
        <f>J27+J30+J36</f>
        <v>34103713.739999995</v>
      </c>
      <c r="K37" s="612">
        <f t="shared" si="37"/>
        <v>35546.49</v>
      </c>
      <c r="L37" s="671">
        <f>L27+L30+L36</f>
        <v>0</v>
      </c>
      <c r="M37" s="612">
        <f t="shared" si="38"/>
        <v>43923.6</v>
      </c>
      <c r="N37" s="671">
        <f>N27+N30+N36</f>
        <v>0</v>
      </c>
      <c r="O37" s="612">
        <f t="shared" si="39"/>
        <v>41904.99</v>
      </c>
      <c r="P37" s="671">
        <f>P27+P30+P36</f>
        <v>0</v>
      </c>
      <c r="Q37" s="671">
        <f>Q27+Q30+Q36</f>
        <v>0</v>
      </c>
      <c r="R37" s="612">
        <f t="shared" si="40"/>
        <v>41274.050000000003</v>
      </c>
      <c r="S37" s="671">
        <f>S27+S30+S36</f>
        <v>0</v>
      </c>
      <c r="T37" s="612">
        <f t="shared" si="41"/>
        <v>51108.05</v>
      </c>
      <c r="U37" s="671">
        <f>U27+U30+U36</f>
        <v>0</v>
      </c>
      <c r="V37" s="612">
        <f t="shared" si="42"/>
        <v>48738.38</v>
      </c>
      <c r="W37" s="671">
        <f>W27+W30+W36</f>
        <v>0</v>
      </c>
      <c r="X37" s="671">
        <f>X27+X30+X36</f>
        <v>0</v>
      </c>
      <c r="Y37" s="612">
        <f t="shared" si="43"/>
        <v>45569.73</v>
      </c>
      <c r="Z37" s="671">
        <f>Z27+Z30+Z36</f>
        <v>0</v>
      </c>
      <c r="AA37" s="612">
        <f t="shared" si="44"/>
        <v>56496.39</v>
      </c>
      <c r="AB37" s="671">
        <f>AB27+AB30+AB36</f>
        <v>0</v>
      </c>
      <c r="AC37" s="671">
        <f>AC27+AC30+AC36</f>
        <v>0</v>
      </c>
      <c r="AD37" s="612">
        <f t="shared" si="45"/>
        <v>54161.08</v>
      </c>
      <c r="AE37" s="671">
        <f>AE27+AE30+AE36</f>
        <v>2</v>
      </c>
      <c r="AF37" s="612">
        <f t="shared" si="46"/>
        <v>67273.070000000007</v>
      </c>
      <c r="AG37" s="671">
        <f>AG27+AG30+AG36</f>
        <v>7</v>
      </c>
      <c r="AH37" s="612">
        <f t="shared" si="47"/>
        <v>64113.51</v>
      </c>
      <c r="AI37" s="671">
        <f>AI27+AI30+AI36</f>
        <v>1</v>
      </c>
      <c r="AJ37" s="671">
        <f>AJ27+AJ30+AJ36</f>
        <v>643347.16000000015</v>
      </c>
      <c r="AK37" s="612">
        <f t="shared" si="48"/>
        <v>29360.82</v>
      </c>
      <c r="AL37" s="671">
        <f>AL27+AL30+AL36</f>
        <v>0</v>
      </c>
      <c r="AM37" s="612">
        <f t="shared" si="49"/>
        <v>36645.26</v>
      </c>
      <c r="AN37" s="671">
        <f>AN27+AN30+AN36</f>
        <v>0</v>
      </c>
      <c r="AO37" s="612">
        <f t="shared" si="50"/>
        <v>34889.949999999997</v>
      </c>
      <c r="AP37" s="671">
        <f>AP27+AP30+AP36</f>
        <v>0</v>
      </c>
      <c r="AQ37" s="671">
        <f>AQ27+AQ30+AQ36</f>
        <v>0</v>
      </c>
      <c r="AR37" s="612">
        <f t="shared" si="51"/>
        <v>35718.379999999997</v>
      </c>
      <c r="AS37" s="671">
        <f>AS27+AS30+AS36</f>
        <v>15</v>
      </c>
      <c r="AT37" s="671">
        <f>AT27+AT30+AT36</f>
        <v>535775.69999999995</v>
      </c>
      <c r="AU37" s="1063">
        <f>AU27+AU30+AU36</f>
        <v>35282836.600000001</v>
      </c>
      <c r="AV37" s="671">
        <f>'старое не смотреть'!D55</f>
        <v>56581384</v>
      </c>
      <c r="AW37" s="612">
        <f t="shared" si="52"/>
        <v>65258.22</v>
      </c>
      <c r="AX37" s="671">
        <f>AX27+AX30+AX36</f>
        <v>0</v>
      </c>
      <c r="AY37" s="612">
        <f t="shared" si="53"/>
        <v>81192.94</v>
      </c>
      <c r="AZ37" s="671">
        <f>AZ27+AZ30+AZ36</f>
        <v>0</v>
      </c>
      <c r="BA37" s="612">
        <f t="shared" si="54"/>
        <v>77353.2</v>
      </c>
      <c r="BB37" s="671">
        <f>BB27+BB30+BB36</f>
        <v>0</v>
      </c>
      <c r="BC37" s="671">
        <f>BC27+BC30+BC36</f>
        <v>0</v>
      </c>
      <c r="BD37" s="612">
        <f t="shared" si="55"/>
        <v>77787.27</v>
      </c>
      <c r="BE37" s="671">
        <f>BE27+BE30+BE36</f>
        <v>0</v>
      </c>
      <c r="BF37" s="612">
        <f t="shared" si="56"/>
        <v>96908.93</v>
      </c>
      <c r="BG37" s="671">
        <f>BG27+BG30+BG36</f>
        <v>0</v>
      </c>
      <c r="BH37" s="671">
        <f>BH27+BH30+BH36</f>
        <v>0</v>
      </c>
      <c r="BI37" s="671">
        <f>BI27+BI30+BI36</f>
        <v>0</v>
      </c>
      <c r="BJ37" s="612">
        <f t="shared" si="57"/>
        <v>25708.01</v>
      </c>
      <c r="BK37" s="671">
        <f>BK27+BK30+BK36</f>
        <v>0</v>
      </c>
      <c r="BL37" s="612">
        <f t="shared" si="58"/>
        <v>27763.9</v>
      </c>
      <c r="BM37" s="671">
        <f>BM27+BM30+BM36</f>
        <v>0</v>
      </c>
      <c r="BN37" s="612">
        <f t="shared" si="59"/>
        <v>23851.91</v>
      </c>
      <c r="BO37" s="671">
        <f>BO27+BO30+BO36</f>
        <v>0</v>
      </c>
      <c r="BP37" s="671">
        <f>BP27+BP30+BP36</f>
        <v>0</v>
      </c>
      <c r="BQ37" s="612">
        <f t="shared" si="60"/>
        <v>29360.82</v>
      </c>
      <c r="BR37" s="671">
        <f t="shared" ref="BR37:BW37" si="67">BR27+BR30+BR36</f>
        <v>0</v>
      </c>
      <c r="BS37" s="612">
        <f t="shared" si="61"/>
        <v>36645.26</v>
      </c>
      <c r="BT37" s="671">
        <f t="shared" si="67"/>
        <v>0</v>
      </c>
      <c r="BU37" s="612">
        <f t="shared" si="62"/>
        <v>34889.949999999997</v>
      </c>
      <c r="BV37" s="671">
        <f t="shared" si="67"/>
        <v>0</v>
      </c>
      <c r="BW37" s="671">
        <f t="shared" si="67"/>
        <v>0</v>
      </c>
      <c r="BX37" s="672">
        <f>BX27+BX30+BX36</f>
        <v>990</v>
      </c>
      <c r="BY37" s="636"/>
      <c r="BZ37" s="636"/>
    </row>
    <row r="38" spans="1:78" ht="18.75">
      <c r="A38" s="1631" t="s">
        <v>90</v>
      </c>
      <c r="B38" s="1632"/>
      <c r="C38" s="1633"/>
      <c r="D38" s="141">
        <f t="shared" si="34"/>
        <v>31250.82</v>
      </c>
      <c r="F38" s="141">
        <f t="shared" si="35"/>
        <v>38535.26</v>
      </c>
      <c r="H38" s="141">
        <f t="shared" si="36"/>
        <v>36779.949999999997</v>
      </c>
      <c r="K38" s="141">
        <f t="shared" si="37"/>
        <v>35546.49</v>
      </c>
      <c r="M38" s="141">
        <f t="shared" si="38"/>
        <v>43923.6</v>
      </c>
      <c r="O38" s="141">
        <f t="shared" si="39"/>
        <v>41904.99</v>
      </c>
      <c r="R38" s="141">
        <f t="shared" si="40"/>
        <v>41274.050000000003</v>
      </c>
      <c r="T38" s="141">
        <f t="shared" si="41"/>
        <v>51108.05</v>
      </c>
      <c r="V38" s="141">
        <f t="shared" si="42"/>
        <v>48738.38</v>
      </c>
      <c r="Y38" s="141">
        <f t="shared" si="43"/>
        <v>45569.73</v>
      </c>
      <c r="AA38" s="141">
        <f t="shared" si="44"/>
        <v>56496.39</v>
      </c>
      <c r="AD38" s="141">
        <f t="shared" si="45"/>
        <v>54161.08</v>
      </c>
      <c r="AF38" s="141">
        <f t="shared" si="46"/>
        <v>67273.070000000007</v>
      </c>
      <c r="AH38" s="141">
        <f t="shared" si="47"/>
        <v>64113.51</v>
      </c>
      <c r="AK38" s="141">
        <f t="shared" si="48"/>
        <v>29360.82</v>
      </c>
      <c r="AM38" s="141">
        <f t="shared" si="49"/>
        <v>36645.26</v>
      </c>
      <c r="AO38" s="141">
        <f t="shared" si="50"/>
        <v>34889.949999999997</v>
      </c>
      <c r="AR38" s="141">
        <f t="shared" si="51"/>
        <v>35718.379999999997</v>
      </c>
      <c r="AV38" s="197">
        <f>ROUND(AV47/AU47,3)</f>
        <v>1.266</v>
      </c>
      <c r="AW38" s="141">
        <f t="shared" si="52"/>
        <v>65258.22</v>
      </c>
      <c r="AY38" s="141">
        <f t="shared" si="53"/>
        <v>81192.94</v>
      </c>
      <c r="BA38" s="141">
        <f t="shared" si="54"/>
        <v>77353.2</v>
      </c>
      <c r="BD38" s="141">
        <f t="shared" si="55"/>
        <v>77787.27</v>
      </c>
      <c r="BF38" s="141">
        <f t="shared" si="56"/>
        <v>96908.93</v>
      </c>
      <c r="BH38" s="142">
        <f>ROUND((BD38*BE38+BF38*BG38),2)</f>
        <v>0</v>
      </c>
      <c r="BI38" s="144">
        <f>BH38+BC38</f>
        <v>0</v>
      </c>
      <c r="BJ38" s="141">
        <f t="shared" si="57"/>
        <v>25708.01</v>
      </c>
      <c r="BL38" s="141">
        <f t="shared" si="58"/>
        <v>27763.9</v>
      </c>
      <c r="BN38" s="141">
        <f t="shared" si="59"/>
        <v>23851.91</v>
      </c>
      <c r="BQ38" s="141">
        <f t="shared" si="60"/>
        <v>29360.82</v>
      </c>
      <c r="BS38" s="141">
        <f t="shared" si="61"/>
        <v>36645.26</v>
      </c>
      <c r="BU38" s="141">
        <f t="shared" si="62"/>
        <v>34889.949999999997</v>
      </c>
      <c r="BY38" s="178"/>
      <c r="BZ38" s="178"/>
    </row>
    <row r="39" spans="1:78" s="159" customFormat="1" ht="16.5">
      <c r="A39" s="198" t="s">
        <v>387</v>
      </c>
      <c r="B39" s="174" t="s">
        <v>138</v>
      </c>
      <c r="C39" s="199" t="s">
        <v>388</v>
      </c>
      <c r="D39" s="141">
        <f t="shared" si="34"/>
        <v>31250.82</v>
      </c>
      <c r="E39" s="187">
        <v>256</v>
      </c>
      <c r="F39" s="141">
        <f t="shared" si="35"/>
        <v>38535.26</v>
      </c>
      <c r="G39" s="187">
        <v>315</v>
      </c>
      <c r="H39" s="141">
        <f t="shared" si="36"/>
        <v>36779.949999999997</v>
      </c>
      <c r="I39" s="187">
        <v>86</v>
      </c>
      <c r="J39" s="142">
        <f>ROUND((D39*E39+F39*G39+H39*I39),2)</f>
        <v>23301892.52</v>
      </c>
      <c r="K39" s="141">
        <f t="shared" si="37"/>
        <v>35546.49</v>
      </c>
      <c r="L39" s="200"/>
      <c r="M39" s="141">
        <f t="shared" si="38"/>
        <v>43923.6</v>
      </c>
      <c r="N39" s="200"/>
      <c r="O39" s="141">
        <f t="shared" si="39"/>
        <v>41904.99</v>
      </c>
      <c r="P39" s="200"/>
      <c r="Q39" s="142">
        <f>ROUND((K39*L39+M39*N39+O39*P39),2)</f>
        <v>0</v>
      </c>
      <c r="R39" s="141">
        <f t="shared" si="40"/>
        <v>41274.050000000003</v>
      </c>
      <c r="S39" s="201"/>
      <c r="T39" s="141">
        <f t="shared" si="41"/>
        <v>51108.05</v>
      </c>
      <c r="U39" s="201"/>
      <c r="V39" s="141">
        <f t="shared" si="42"/>
        <v>48738.38</v>
      </c>
      <c r="W39" s="202"/>
      <c r="X39" s="142">
        <f>ROUND((R39*S39+T39*U39+V39*W39),2)</f>
        <v>0</v>
      </c>
      <c r="Y39" s="141">
        <f t="shared" si="43"/>
        <v>45569.73</v>
      </c>
      <c r="Z39" s="201"/>
      <c r="AA39" s="141">
        <f t="shared" si="44"/>
        <v>56496.39</v>
      </c>
      <c r="AB39" s="201"/>
      <c r="AC39" s="142">
        <f>ROUND((Y39*Z39+AA39*AB39),2)</f>
        <v>0</v>
      </c>
      <c r="AD39" s="141">
        <f t="shared" si="45"/>
        <v>54161.08</v>
      </c>
      <c r="AE39" s="187">
        <v>9</v>
      </c>
      <c r="AF39" s="141">
        <f t="shared" si="46"/>
        <v>67273.070000000007</v>
      </c>
      <c r="AG39" s="187">
        <v>4</v>
      </c>
      <c r="AH39" s="141">
        <f t="shared" si="47"/>
        <v>64113.51</v>
      </c>
      <c r="AI39" s="200"/>
      <c r="AJ39" s="142">
        <f>ROUND((AD39*AE39+AF39*AG39+AH39*AI39),2)</f>
        <v>756542</v>
      </c>
      <c r="AK39" s="141">
        <f t="shared" si="48"/>
        <v>29360.82</v>
      </c>
      <c r="AL39" s="200"/>
      <c r="AM39" s="141">
        <f t="shared" si="49"/>
        <v>36645.26</v>
      </c>
      <c r="AN39" s="200"/>
      <c r="AO39" s="141">
        <f t="shared" si="50"/>
        <v>34889.949999999997</v>
      </c>
      <c r="AP39" s="200"/>
      <c r="AQ39" s="142">
        <f>ROUND((AK39*AL39+AM39*AN39+AO39*AP39),2)</f>
        <v>0</v>
      </c>
      <c r="AR39" s="141">
        <f t="shared" si="51"/>
        <v>35718.379999999997</v>
      </c>
      <c r="AS39" s="187"/>
      <c r="AT39" s="142"/>
      <c r="AU39" s="143">
        <f>AT39+AQ39+AJ39+AC39+X39+Q39+J39</f>
        <v>24058434.52</v>
      </c>
      <c r="AV39" s="407">
        <f>AU39</f>
        <v>24058434.52</v>
      </c>
      <c r="AW39" s="141">
        <f t="shared" si="52"/>
        <v>65258.22</v>
      </c>
      <c r="AX39" s="204"/>
      <c r="AY39" s="141">
        <f t="shared" si="53"/>
        <v>81192.94</v>
      </c>
      <c r="AZ39" s="204"/>
      <c r="BA39" s="141">
        <f t="shared" si="54"/>
        <v>77353.2</v>
      </c>
      <c r="BB39" s="204"/>
      <c r="BC39" s="142">
        <f>ROUND((AW39*AX39+AY39*AZ39+BA39*BB39),2)</f>
        <v>0</v>
      </c>
      <c r="BD39" s="141">
        <f t="shared" si="55"/>
        <v>77787.27</v>
      </c>
      <c r="BE39" s="201"/>
      <c r="BF39" s="141">
        <f t="shared" si="56"/>
        <v>96908.93</v>
      </c>
      <c r="BG39" s="201"/>
      <c r="BH39" s="201"/>
      <c r="BI39" s="201"/>
      <c r="BJ39" s="141">
        <f t="shared" si="57"/>
        <v>25708.01</v>
      </c>
      <c r="BK39" s="201"/>
      <c r="BL39" s="141">
        <f t="shared" si="58"/>
        <v>27763.9</v>
      </c>
      <c r="BM39" s="201"/>
      <c r="BN39" s="141">
        <f t="shared" si="59"/>
        <v>23851.91</v>
      </c>
      <c r="BO39" s="201"/>
      <c r="BP39" s="142">
        <f>ROUND((BJ39*BK39+BL39*BM39+BN39*BO39),2)</f>
        <v>0</v>
      </c>
      <c r="BQ39" s="141">
        <f t="shared" si="60"/>
        <v>29360.82</v>
      </c>
      <c r="BR39" s="202"/>
      <c r="BS39" s="141">
        <f t="shared" si="61"/>
        <v>36645.26</v>
      </c>
      <c r="BT39" s="202"/>
      <c r="BU39" s="141">
        <f t="shared" si="62"/>
        <v>34889.949999999997</v>
      </c>
      <c r="BV39" s="202"/>
      <c r="BW39" s="142">
        <f>ROUND((BQ39*BR39+BS39*BT39+BU39*BV39),2)</f>
        <v>0</v>
      </c>
      <c r="BX39" s="145">
        <f>BV39+BT39+BR39+BO39+BM39+BK39+BG39+BE39+BB39+AZ39+AX39+AS39+AP39+AN39+AL39+AI39+AG39+AE39+AB39+Z39+W39+U39+S39+P39+N39+L39+I39+G39+E39</f>
        <v>670</v>
      </c>
      <c r="BY39" s="158"/>
      <c r="BZ39" s="158"/>
    </row>
    <row r="40" spans="1:78" s="116" customFormat="1" ht="16.5">
      <c r="A40" s="108" t="s">
        <v>389</v>
      </c>
      <c r="B40" s="205" t="s">
        <v>139</v>
      </c>
      <c r="C40" s="147" t="s">
        <v>390</v>
      </c>
      <c r="D40" s="141">
        <f t="shared" si="34"/>
        <v>31250.82</v>
      </c>
      <c r="E40" s="189">
        <v>202</v>
      </c>
      <c r="F40" s="141">
        <f t="shared" si="35"/>
        <v>38535.26</v>
      </c>
      <c r="G40" s="189">
        <v>230</v>
      </c>
      <c r="H40" s="141">
        <f t="shared" si="36"/>
        <v>36779.949999999997</v>
      </c>
      <c r="I40" s="189">
        <v>37</v>
      </c>
      <c r="J40" s="142">
        <f>ROUND((D40*E40+F40*G40+H40*I40),2)</f>
        <v>16536633.59</v>
      </c>
      <c r="K40" s="141">
        <f t="shared" si="37"/>
        <v>35546.49</v>
      </c>
      <c r="L40" s="111"/>
      <c r="M40" s="141">
        <f t="shared" si="38"/>
        <v>43923.6</v>
      </c>
      <c r="N40" s="111"/>
      <c r="O40" s="141">
        <f t="shared" si="39"/>
        <v>41904.99</v>
      </c>
      <c r="P40" s="111"/>
      <c r="Q40" s="142">
        <f>ROUND((K40*L40+M40*N40+O40*P40),2)</f>
        <v>0</v>
      </c>
      <c r="R40" s="141">
        <f t="shared" si="40"/>
        <v>41274.050000000003</v>
      </c>
      <c r="S40" s="111"/>
      <c r="T40" s="141">
        <f t="shared" si="41"/>
        <v>51108.05</v>
      </c>
      <c r="U40" s="111"/>
      <c r="V40" s="141">
        <f t="shared" si="42"/>
        <v>48738.38</v>
      </c>
      <c r="W40" s="111"/>
      <c r="X40" s="142">
        <f>ROUND((R40*S40+T40*U40+V40*W40),2)</f>
        <v>0</v>
      </c>
      <c r="Y40" s="141">
        <f t="shared" si="43"/>
        <v>45569.73</v>
      </c>
      <c r="Z40" s="111"/>
      <c r="AA40" s="141">
        <f t="shared" si="44"/>
        <v>56496.39</v>
      </c>
      <c r="AB40" s="111"/>
      <c r="AC40" s="142">
        <f>ROUND((Y40*Z40+AA40*AB40),2)</f>
        <v>0</v>
      </c>
      <c r="AD40" s="141">
        <f t="shared" si="45"/>
        <v>54161.08</v>
      </c>
      <c r="AE40" s="189">
        <v>2</v>
      </c>
      <c r="AF40" s="141">
        <f t="shared" si="46"/>
        <v>67273.070000000007</v>
      </c>
      <c r="AG40" s="189">
        <v>11</v>
      </c>
      <c r="AH40" s="141">
        <f t="shared" si="47"/>
        <v>64113.51</v>
      </c>
      <c r="AI40" s="113"/>
      <c r="AJ40" s="142">
        <f>ROUND((AD40*AE40+AF40*AG40+AH40*AI40),2)</f>
        <v>848325.93</v>
      </c>
      <c r="AK40" s="141">
        <f t="shared" si="48"/>
        <v>29360.82</v>
      </c>
      <c r="AL40" s="113"/>
      <c r="AM40" s="141">
        <f t="shared" si="49"/>
        <v>36645.26</v>
      </c>
      <c r="AN40" s="113"/>
      <c r="AO40" s="141">
        <f t="shared" si="50"/>
        <v>34889.949999999997</v>
      </c>
      <c r="AP40" s="113"/>
      <c r="AQ40" s="142">
        <f>ROUND((AK40*AL40+AM40*AN40+AO40*AP40),2)</f>
        <v>0</v>
      </c>
      <c r="AR40" s="141">
        <f t="shared" si="51"/>
        <v>35718.379999999997</v>
      </c>
      <c r="AS40" s="189">
        <v>145</v>
      </c>
      <c r="AT40" s="142">
        <f>ROUND((AR40*AS40),2)</f>
        <v>5179165.0999999996</v>
      </c>
      <c r="AU40" s="143">
        <f>AT40+AQ40+AJ40+AC40+X40+Q40+J40</f>
        <v>22564124.619999997</v>
      </c>
      <c r="AV40" s="115"/>
      <c r="AW40" s="141">
        <f t="shared" si="52"/>
        <v>65258.22</v>
      </c>
      <c r="AX40" s="113"/>
      <c r="AY40" s="141">
        <f t="shared" si="53"/>
        <v>81192.94</v>
      </c>
      <c r="AZ40" s="113"/>
      <c r="BA40" s="141">
        <f t="shared" si="54"/>
        <v>77353.2</v>
      </c>
      <c r="BB40" s="113"/>
      <c r="BC40" s="142">
        <f>ROUND((AW40*AX40+AY40*AZ40+BA40*BB40),2)</f>
        <v>0</v>
      </c>
      <c r="BD40" s="141">
        <f t="shared" si="55"/>
        <v>77787.27</v>
      </c>
      <c r="BE40" s="111"/>
      <c r="BF40" s="141">
        <f t="shared" si="56"/>
        <v>96908.93</v>
      </c>
      <c r="BG40" s="111"/>
      <c r="BH40" s="142">
        <f>ROUND((BD40*BE40+BF40*BG40),2)</f>
        <v>0</v>
      </c>
      <c r="BI40" s="144">
        <f>BH40+BC40</f>
        <v>0</v>
      </c>
      <c r="BJ40" s="141">
        <f t="shared" si="57"/>
        <v>25708.01</v>
      </c>
      <c r="BK40" s="111"/>
      <c r="BL40" s="141">
        <f t="shared" si="58"/>
        <v>27763.9</v>
      </c>
      <c r="BM40" s="111"/>
      <c r="BN40" s="141">
        <f t="shared" si="59"/>
        <v>23851.91</v>
      </c>
      <c r="BO40" s="111"/>
      <c r="BP40" s="142">
        <f>ROUND((BJ40*BK40+BL40*BM40+BN40*BO40),2)</f>
        <v>0</v>
      </c>
      <c r="BQ40" s="141">
        <f t="shared" si="60"/>
        <v>29360.82</v>
      </c>
      <c r="BR40" s="111"/>
      <c r="BS40" s="141">
        <f t="shared" si="61"/>
        <v>36645.26</v>
      </c>
      <c r="BT40" s="111"/>
      <c r="BU40" s="141">
        <f t="shared" si="62"/>
        <v>34889.949999999997</v>
      </c>
      <c r="BV40" s="111"/>
      <c r="BW40" s="142">
        <f>ROUND((BQ40*BR40+BS40*BT40+BU40*BV40),2)</f>
        <v>0</v>
      </c>
      <c r="BX40" s="145">
        <f>BV40+BT40+BR40+BO40+BM40+BK40+BG40+BE40+BB40+AZ40+AX40+AS40+AP40+AN40+AL40+AI40+AG40+AE40+AB40+Z40+W40+U40+S40+P40+N40+L40+I40+G40+E40</f>
        <v>627</v>
      </c>
      <c r="BY40" s="117"/>
      <c r="BZ40" s="117"/>
    </row>
    <row r="41" spans="1:78" s="116" customFormat="1" ht="16.5">
      <c r="A41" s="118"/>
      <c r="B41" s="148" t="s">
        <v>391</v>
      </c>
      <c r="C41" s="149"/>
      <c r="D41" s="141">
        <f t="shared" si="34"/>
        <v>31250.82</v>
      </c>
      <c r="E41" s="189">
        <v>24</v>
      </c>
      <c r="F41" s="141">
        <f t="shared" si="35"/>
        <v>38535.26</v>
      </c>
      <c r="G41" s="189">
        <v>31</v>
      </c>
      <c r="H41" s="141">
        <f t="shared" si="36"/>
        <v>36779.949999999997</v>
      </c>
      <c r="I41" s="189">
        <v>0</v>
      </c>
      <c r="J41" s="142">
        <f>ROUND((D41*E41+F41*G41+H41*I41),2)</f>
        <v>1944612.74</v>
      </c>
      <c r="K41" s="141">
        <f t="shared" si="37"/>
        <v>35546.49</v>
      </c>
      <c r="L41" s="111"/>
      <c r="M41" s="141">
        <f t="shared" si="38"/>
        <v>43923.6</v>
      </c>
      <c r="N41" s="111"/>
      <c r="O41" s="141">
        <f t="shared" si="39"/>
        <v>41904.99</v>
      </c>
      <c r="P41" s="111"/>
      <c r="Q41" s="142">
        <f>ROUND((K41*L41+M41*N41+O41*P41),2)</f>
        <v>0</v>
      </c>
      <c r="R41" s="141">
        <f t="shared" si="40"/>
        <v>41274.050000000003</v>
      </c>
      <c r="S41" s="111"/>
      <c r="T41" s="141">
        <f t="shared" si="41"/>
        <v>51108.05</v>
      </c>
      <c r="U41" s="111"/>
      <c r="V41" s="141">
        <f t="shared" si="42"/>
        <v>48738.38</v>
      </c>
      <c r="W41" s="111"/>
      <c r="X41" s="142">
        <f>ROUND((R41*S41+T41*U41+V41*W41),2)</f>
        <v>0</v>
      </c>
      <c r="Y41" s="141">
        <f t="shared" si="43"/>
        <v>45569.73</v>
      </c>
      <c r="Z41" s="111"/>
      <c r="AA41" s="141">
        <f t="shared" si="44"/>
        <v>56496.39</v>
      </c>
      <c r="AB41" s="111"/>
      <c r="AC41" s="142">
        <f>ROUND((Y41*Z41+AA41*AB41),2)</f>
        <v>0</v>
      </c>
      <c r="AD41" s="141">
        <f t="shared" si="45"/>
        <v>54161.08</v>
      </c>
      <c r="AE41" s="189">
        <v>0</v>
      </c>
      <c r="AF41" s="141">
        <f t="shared" si="46"/>
        <v>67273.070000000007</v>
      </c>
      <c r="AG41" s="189">
        <v>2</v>
      </c>
      <c r="AH41" s="141">
        <f t="shared" si="47"/>
        <v>64113.51</v>
      </c>
      <c r="AI41" s="113"/>
      <c r="AJ41" s="142">
        <f>ROUND((AD41*AE41+AF41*AG41+AH41*AI41),2)</f>
        <v>134546.14000000001</v>
      </c>
      <c r="AK41" s="141">
        <f t="shared" si="48"/>
        <v>29360.82</v>
      </c>
      <c r="AL41" s="113"/>
      <c r="AM41" s="141">
        <f t="shared" si="49"/>
        <v>36645.26</v>
      </c>
      <c r="AN41" s="113"/>
      <c r="AO41" s="141">
        <f t="shared" si="50"/>
        <v>34889.949999999997</v>
      </c>
      <c r="AP41" s="113"/>
      <c r="AQ41" s="142">
        <f>ROUND((AK41*AL41+AM41*AN41+AO41*AP41),2)</f>
        <v>0</v>
      </c>
      <c r="AR41" s="141">
        <f t="shared" si="51"/>
        <v>35718.379999999997</v>
      </c>
      <c r="AS41" s="189">
        <v>23</v>
      </c>
      <c r="AT41" s="142">
        <f>ROUND((AR41*AS41),2)</f>
        <v>821522.74</v>
      </c>
      <c r="AU41" s="143">
        <f>AT41+AQ41+AJ41+AC41+X41+Q41+J41</f>
        <v>2900681.62</v>
      </c>
      <c r="AV41" s="115"/>
      <c r="AW41" s="141">
        <f t="shared" si="52"/>
        <v>65258.22</v>
      </c>
      <c r="AX41" s="113"/>
      <c r="AY41" s="141">
        <f t="shared" si="53"/>
        <v>81192.94</v>
      </c>
      <c r="AZ41" s="113"/>
      <c r="BA41" s="141">
        <f t="shared" si="54"/>
        <v>77353.2</v>
      </c>
      <c r="BB41" s="113"/>
      <c r="BC41" s="142">
        <f>ROUND((AW41*AX41+AY41*AZ41+BA41*BB41),2)</f>
        <v>0</v>
      </c>
      <c r="BD41" s="141">
        <f t="shared" si="55"/>
        <v>77787.27</v>
      </c>
      <c r="BE41" s="111"/>
      <c r="BF41" s="141">
        <f t="shared" si="56"/>
        <v>96908.93</v>
      </c>
      <c r="BG41" s="111"/>
      <c r="BH41" s="142">
        <f>ROUND((BD41*BE41+BF41*BG41),2)</f>
        <v>0</v>
      </c>
      <c r="BI41" s="144">
        <f>BH41+BC41</f>
        <v>0</v>
      </c>
      <c r="BJ41" s="141">
        <f t="shared" si="57"/>
        <v>25708.01</v>
      </c>
      <c r="BK41" s="111"/>
      <c r="BL41" s="141">
        <f t="shared" si="58"/>
        <v>27763.9</v>
      </c>
      <c r="BM41" s="111"/>
      <c r="BN41" s="141">
        <f t="shared" si="59"/>
        <v>23851.91</v>
      </c>
      <c r="BO41" s="111"/>
      <c r="BP41" s="142">
        <f>ROUND((BJ41*BK41+BL41*BM41+BN41*BO41),2)</f>
        <v>0</v>
      </c>
      <c r="BQ41" s="141">
        <f t="shared" si="60"/>
        <v>29360.82</v>
      </c>
      <c r="BR41" s="111"/>
      <c r="BS41" s="141">
        <f t="shared" si="61"/>
        <v>36645.26</v>
      </c>
      <c r="BT41" s="111"/>
      <c r="BU41" s="141">
        <f t="shared" si="62"/>
        <v>34889.949999999997</v>
      </c>
      <c r="BV41" s="111"/>
      <c r="BW41" s="142">
        <f>ROUND((BQ41*BR41+BS41*BT41+BU41*BV41),2)</f>
        <v>0</v>
      </c>
      <c r="BX41" s="145">
        <f>BV41+BT41+BR41+BO41+BM41+BK41+BG41+BE41+BB41+AZ41+AX41+AS41+AP41+AN41+AL41+AI41+AG41+AE41+AB41+Z41+W41+U41+S41+P41+N41+L41+I41+G41+E41</f>
        <v>80</v>
      </c>
      <c r="BY41" s="117"/>
      <c r="BZ41" s="117"/>
    </row>
    <row r="42" spans="1:78" s="193" customFormat="1" ht="16.5">
      <c r="A42" s="206"/>
      <c r="B42" s="174" t="s">
        <v>392</v>
      </c>
      <c r="C42" s="207"/>
      <c r="D42" s="141">
        <f t="shared" si="34"/>
        <v>31250.82</v>
      </c>
      <c r="E42" s="187">
        <f>E40+E41</f>
        <v>226</v>
      </c>
      <c r="F42" s="141">
        <f t="shared" si="35"/>
        <v>38535.26</v>
      </c>
      <c r="G42" s="187">
        <f>G40+G41</f>
        <v>261</v>
      </c>
      <c r="H42" s="141">
        <f t="shared" si="36"/>
        <v>36779.949999999997</v>
      </c>
      <c r="I42" s="187">
        <f>I40+I41</f>
        <v>37</v>
      </c>
      <c r="J42" s="208">
        <f>J40+J41</f>
        <v>18481246.329999998</v>
      </c>
      <c r="K42" s="141">
        <f t="shared" si="37"/>
        <v>35546.49</v>
      </c>
      <c r="L42" s="208">
        <f>L40+L41</f>
        <v>0</v>
      </c>
      <c r="M42" s="141">
        <f t="shared" si="38"/>
        <v>43923.6</v>
      </c>
      <c r="N42" s="208">
        <f>N40+N41</f>
        <v>0</v>
      </c>
      <c r="O42" s="141">
        <f t="shared" si="39"/>
        <v>41904.99</v>
      </c>
      <c r="P42" s="208">
        <f>P40+P41</f>
        <v>0</v>
      </c>
      <c r="Q42" s="208">
        <f>Q40+Q41</f>
        <v>0</v>
      </c>
      <c r="R42" s="141">
        <f t="shared" si="40"/>
        <v>41274.050000000003</v>
      </c>
      <c r="S42" s="208">
        <f>S40+S41</f>
        <v>0</v>
      </c>
      <c r="T42" s="141">
        <f t="shared" si="41"/>
        <v>51108.05</v>
      </c>
      <c r="U42" s="208">
        <f>U40+U41</f>
        <v>0</v>
      </c>
      <c r="V42" s="141">
        <f t="shared" si="42"/>
        <v>48738.38</v>
      </c>
      <c r="W42" s="208">
        <f>W40+W41</f>
        <v>0</v>
      </c>
      <c r="X42" s="208">
        <f>X40+X41</f>
        <v>0</v>
      </c>
      <c r="Y42" s="141">
        <f t="shared" si="43"/>
        <v>45569.73</v>
      </c>
      <c r="Z42" s="208">
        <f>Z40+Z41</f>
        <v>0</v>
      </c>
      <c r="AA42" s="141">
        <f t="shared" si="44"/>
        <v>56496.39</v>
      </c>
      <c r="AB42" s="208">
        <f>AB40+AB41</f>
        <v>0</v>
      </c>
      <c r="AC42" s="208">
        <f>AC40+AC41</f>
        <v>0</v>
      </c>
      <c r="AD42" s="141">
        <f t="shared" si="45"/>
        <v>54161.08</v>
      </c>
      <c r="AE42" s="187">
        <f>AE40+AE41</f>
        <v>2</v>
      </c>
      <c r="AF42" s="141">
        <f t="shared" si="46"/>
        <v>67273.070000000007</v>
      </c>
      <c r="AG42" s="187">
        <f>AG40+AG41</f>
        <v>13</v>
      </c>
      <c r="AH42" s="141">
        <f t="shared" si="47"/>
        <v>64113.51</v>
      </c>
      <c r="AI42" s="208">
        <f>AI40+AI41</f>
        <v>0</v>
      </c>
      <c r="AJ42" s="208">
        <f>AJ40+AJ41</f>
        <v>982872.07000000007</v>
      </c>
      <c r="AK42" s="141">
        <f t="shared" si="48"/>
        <v>29360.82</v>
      </c>
      <c r="AL42" s="208">
        <f>AL40+AL41</f>
        <v>0</v>
      </c>
      <c r="AM42" s="141">
        <f t="shared" si="49"/>
        <v>36645.26</v>
      </c>
      <c r="AN42" s="208">
        <f>AN40+AN41</f>
        <v>0</v>
      </c>
      <c r="AO42" s="141">
        <f t="shared" si="50"/>
        <v>34889.949999999997</v>
      </c>
      <c r="AP42" s="208">
        <f>AP40+AP41</f>
        <v>0</v>
      </c>
      <c r="AQ42" s="208">
        <f>AQ40+AQ41</f>
        <v>0</v>
      </c>
      <c r="AR42" s="141">
        <f t="shared" si="51"/>
        <v>35718.379999999997</v>
      </c>
      <c r="AS42" s="187">
        <f>AS40+AS41</f>
        <v>168</v>
      </c>
      <c r="AT42" s="208">
        <f>AT40+AT41</f>
        <v>6000687.8399999999</v>
      </c>
      <c r="AU42" s="407">
        <f>AU40+AU41</f>
        <v>25464806.239999998</v>
      </c>
      <c r="AV42" s="679">
        <f>'старое не смотреть'!D68</f>
        <v>34893098.950000003</v>
      </c>
      <c r="AW42" s="141">
        <f t="shared" si="52"/>
        <v>65258.22</v>
      </c>
      <c r="AX42" s="208">
        <f>AX40+AX41</f>
        <v>0</v>
      </c>
      <c r="AY42" s="141">
        <f t="shared" si="53"/>
        <v>81192.94</v>
      </c>
      <c r="AZ42" s="208">
        <f>AZ40+AZ41</f>
        <v>0</v>
      </c>
      <c r="BA42" s="141">
        <f t="shared" si="54"/>
        <v>77353.2</v>
      </c>
      <c r="BB42" s="208">
        <f>BB40+BB41</f>
        <v>0</v>
      </c>
      <c r="BC42" s="208">
        <f>BC40+BC41</f>
        <v>0</v>
      </c>
      <c r="BD42" s="141">
        <f t="shared" si="55"/>
        <v>77787.27</v>
      </c>
      <c r="BE42" s="208">
        <f>BE40+BE41</f>
        <v>0</v>
      </c>
      <c r="BF42" s="141">
        <f t="shared" si="56"/>
        <v>96908.93</v>
      </c>
      <c r="BG42" s="208">
        <f>BG40+BG41</f>
        <v>0</v>
      </c>
      <c r="BH42" s="208">
        <f>BH40+BH41</f>
        <v>0</v>
      </c>
      <c r="BI42" s="208">
        <f>BI40+BI41</f>
        <v>0</v>
      </c>
      <c r="BJ42" s="141">
        <f t="shared" si="57"/>
        <v>25708.01</v>
      </c>
      <c r="BK42" s="208">
        <f>BK40+BK41</f>
        <v>0</v>
      </c>
      <c r="BL42" s="141">
        <f t="shared" si="58"/>
        <v>27763.9</v>
      </c>
      <c r="BM42" s="208">
        <f>BM40+BM41</f>
        <v>0</v>
      </c>
      <c r="BN42" s="141">
        <f t="shared" si="59"/>
        <v>23851.91</v>
      </c>
      <c r="BO42" s="208">
        <f>BO40+BO41</f>
        <v>0</v>
      </c>
      <c r="BP42" s="208">
        <f>BP40+BP41</f>
        <v>0</v>
      </c>
      <c r="BQ42" s="141">
        <f t="shared" si="60"/>
        <v>29360.82</v>
      </c>
      <c r="BR42" s="208">
        <f t="shared" ref="BR42:BX42" si="68">BR40+BR41</f>
        <v>0</v>
      </c>
      <c r="BS42" s="141">
        <f t="shared" si="61"/>
        <v>36645.26</v>
      </c>
      <c r="BT42" s="208">
        <f t="shared" si="68"/>
        <v>0</v>
      </c>
      <c r="BU42" s="141">
        <f t="shared" si="62"/>
        <v>34889.949999999997</v>
      </c>
      <c r="BV42" s="208">
        <f t="shared" si="68"/>
        <v>0</v>
      </c>
      <c r="BW42" s="208">
        <f t="shared" si="68"/>
        <v>0</v>
      </c>
      <c r="BX42" s="209">
        <f t="shared" si="68"/>
        <v>707</v>
      </c>
      <c r="BY42" s="192"/>
      <c r="BZ42" s="192"/>
    </row>
    <row r="43" spans="1:78" s="116" customFormat="1" ht="16.5">
      <c r="A43" s="108" t="s">
        <v>393</v>
      </c>
      <c r="B43" s="140" t="s">
        <v>140</v>
      </c>
      <c r="C43" s="149" t="s">
        <v>390</v>
      </c>
      <c r="D43" s="141">
        <f t="shared" si="34"/>
        <v>31250.82</v>
      </c>
      <c r="E43" s="189">
        <v>159</v>
      </c>
      <c r="F43" s="141">
        <f t="shared" si="35"/>
        <v>38535.26</v>
      </c>
      <c r="G43" s="189">
        <v>180</v>
      </c>
      <c r="H43" s="141">
        <f t="shared" si="36"/>
        <v>36779.949999999997</v>
      </c>
      <c r="I43" s="189">
        <v>30</v>
      </c>
      <c r="J43" s="142">
        <f>ROUND((D43*E43+F43*G43+H43*I43),2)</f>
        <v>13008625.68</v>
      </c>
      <c r="K43" s="141">
        <f t="shared" si="37"/>
        <v>35546.49</v>
      </c>
      <c r="L43" s="111"/>
      <c r="M43" s="141">
        <f t="shared" si="38"/>
        <v>43923.6</v>
      </c>
      <c r="N43" s="111"/>
      <c r="O43" s="141">
        <f t="shared" si="39"/>
        <v>41904.99</v>
      </c>
      <c r="P43" s="111"/>
      <c r="Q43" s="142">
        <f>ROUND((K43*L43+M43*N43+O43*P43),2)</f>
        <v>0</v>
      </c>
      <c r="R43" s="141">
        <f t="shared" si="40"/>
        <v>41274.050000000003</v>
      </c>
      <c r="S43" s="111"/>
      <c r="T43" s="141">
        <f t="shared" si="41"/>
        <v>51108.05</v>
      </c>
      <c r="U43" s="111"/>
      <c r="V43" s="141">
        <f t="shared" si="42"/>
        <v>48738.38</v>
      </c>
      <c r="W43" s="111"/>
      <c r="X43" s="142">
        <f>ROUND((R43*S43+T43*U43+V43*W43),2)</f>
        <v>0</v>
      </c>
      <c r="Y43" s="141">
        <f t="shared" si="43"/>
        <v>45569.73</v>
      </c>
      <c r="Z43" s="111"/>
      <c r="AA43" s="141">
        <f t="shared" si="44"/>
        <v>56496.39</v>
      </c>
      <c r="AB43" s="111"/>
      <c r="AC43" s="142">
        <f>ROUND((Y43*Z43+AA43*AB43),2)</f>
        <v>0</v>
      </c>
      <c r="AD43" s="141">
        <f t="shared" si="45"/>
        <v>54161.08</v>
      </c>
      <c r="AE43" s="189">
        <v>5</v>
      </c>
      <c r="AF43" s="141">
        <f t="shared" si="46"/>
        <v>67273.070000000007</v>
      </c>
      <c r="AG43" s="189">
        <v>2</v>
      </c>
      <c r="AH43" s="141">
        <f t="shared" si="47"/>
        <v>64113.51</v>
      </c>
      <c r="AI43" s="113"/>
      <c r="AJ43" s="142">
        <f>ROUND((AD43*AE43+AF43*AG43+AH43*AI43),2)</f>
        <v>405351.54</v>
      </c>
      <c r="AK43" s="141">
        <f t="shared" si="48"/>
        <v>29360.82</v>
      </c>
      <c r="AL43" s="113"/>
      <c r="AM43" s="141">
        <f t="shared" si="49"/>
        <v>36645.26</v>
      </c>
      <c r="AN43" s="113"/>
      <c r="AO43" s="141">
        <f t="shared" si="50"/>
        <v>34889.949999999997</v>
      </c>
      <c r="AP43" s="113"/>
      <c r="AQ43" s="142">
        <f>ROUND((AK43*AL43+AM43*AN43+AO43*AP43),2)</f>
        <v>0</v>
      </c>
      <c r="AR43" s="141">
        <f t="shared" si="51"/>
        <v>35718.379999999997</v>
      </c>
      <c r="AS43" s="189">
        <v>0</v>
      </c>
      <c r="AT43" s="142">
        <f>ROUND((AR43*AS43),2)</f>
        <v>0</v>
      </c>
      <c r="AU43" s="143">
        <f>AT43+AQ43+AJ43+AC43+X43+Q43+J43</f>
        <v>13413977.219999999</v>
      </c>
      <c r="AV43" s="115"/>
      <c r="AW43" s="141">
        <f t="shared" si="52"/>
        <v>65258.22</v>
      </c>
      <c r="AX43" s="113"/>
      <c r="AY43" s="141">
        <f t="shared" si="53"/>
        <v>81192.94</v>
      </c>
      <c r="AZ43" s="113"/>
      <c r="BA43" s="141">
        <f t="shared" si="54"/>
        <v>77353.2</v>
      </c>
      <c r="BB43" s="113"/>
      <c r="BC43" s="142">
        <f>ROUND((AW43*AX43+AY43*AZ43+BA43*BB43),2)</f>
        <v>0</v>
      </c>
      <c r="BD43" s="141">
        <f t="shared" si="55"/>
        <v>77787.27</v>
      </c>
      <c r="BE43" s="111"/>
      <c r="BF43" s="141">
        <f t="shared" si="56"/>
        <v>96908.93</v>
      </c>
      <c r="BG43" s="111"/>
      <c r="BH43" s="142">
        <f>ROUND((BD43*BE43+BF43*BG43),2)</f>
        <v>0</v>
      </c>
      <c r="BI43" s="144">
        <f>BH43+BC43</f>
        <v>0</v>
      </c>
      <c r="BJ43" s="141">
        <f t="shared" si="57"/>
        <v>25708.01</v>
      </c>
      <c r="BK43" s="111"/>
      <c r="BL43" s="141">
        <f t="shared" si="58"/>
        <v>27763.9</v>
      </c>
      <c r="BM43" s="111"/>
      <c r="BN43" s="141">
        <f t="shared" si="59"/>
        <v>23851.91</v>
      </c>
      <c r="BO43" s="111"/>
      <c r="BP43" s="142">
        <f>ROUND((BJ43*BK43+BL43*BM43+BN43*BO43),2)</f>
        <v>0</v>
      </c>
      <c r="BQ43" s="141">
        <f t="shared" si="60"/>
        <v>29360.82</v>
      </c>
      <c r="BR43" s="111"/>
      <c r="BS43" s="141">
        <f t="shared" si="61"/>
        <v>36645.26</v>
      </c>
      <c r="BT43" s="111"/>
      <c r="BU43" s="141">
        <f t="shared" si="62"/>
        <v>34889.949999999997</v>
      </c>
      <c r="BV43" s="111"/>
      <c r="BW43" s="142">
        <f>ROUND((BQ43*BR43+BS43*BT43+BU43*BV43),2)</f>
        <v>0</v>
      </c>
      <c r="BX43" s="145">
        <f>BV43+BT43+BR43+BO43+BM43+BK43+BG43+BE43+BB43+AZ43+AX43+AS43+AP43+AN43+AL43+AI43+AG43+AE43+AB43+Z43+W43+U43+S43+P43+N43+L43+I43+G43+E43</f>
        <v>376</v>
      </c>
      <c r="BY43" s="117"/>
      <c r="BZ43" s="117"/>
    </row>
    <row r="44" spans="1:78" s="116" customFormat="1" ht="16.5">
      <c r="A44" s="95"/>
      <c r="B44" s="148" t="s">
        <v>394</v>
      </c>
      <c r="C44" s="149"/>
      <c r="D44" s="141">
        <f t="shared" si="34"/>
        <v>31250.82</v>
      </c>
      <c r="E44" s="189">
        <v>33</v>
      </c>
      <c r="F44" s="141">
        <f t="shared" si="35"/>
        <v>38535.26</v>
      </c>
      <c r="G44" s="189">
        <v>22</v>
      </c>
      <c r="H44" s="141">
        <f t="shared" si="36"/>
        <v>36779.949999999997</v>
      </c>
      <c r="I44" s="189">
        <v>0</v>
      </c>
      <c r="J44" s="142">
        <f>ROUND((D44*E44+F44*G44+H44*I44),2)</f>
        <v>1879052.78</v>
      </c>
      <c r="K44" s="141">
        <f t="shared" si="37"/>
        <v>35546.49</v>
      </c>
      <c r="L44" s="114"/>
      <c r="M44" s="141">
        <f t="shared" si="38"/>
        <v>43923.6</v>
      </c>
      <c r="N44" s="114"/>
      <c r="O44" s="141">
        <f t="shared" si="39"/>
        <v>41904.99</v>
      </c>
      <c r="P44" s="119"/>
      <c r="Q44" s="142">
        <f>ROUND((K44*L44+M44*N44+O44*P44),2)</f>
        <v>0</v>
      </c>
      <c r="R44" s="141">
        <f t="shared" si="40"/>
        <v>41274.050000000003</v>
      </c>
      <c r="S44" s="119"/>
      <c r="T44" s="141">
        <f t="shared" si="41"/>
        <v>51108.05</v>
      </c>
      <c r="U44" s="119"/>
      <c r="V44" s="141">
        <f t="shared" si="42"/>
        <v>48738.38</v>
      </c>
      <c r="W44" s="119"/>
      <c r="X44" s="142">
        <f>ROUND((R44*S44+T44*U44+V44*W44),2)</f>
        <v>0</v>
      </c>
      <c r="Y44" s="141">
        <f t="shared" si="43"/>
        <v>45569.73</v>
      </c>
      <c r="Z44" s="119"/>
      <c r="AA44" s="141">
        <f t="shared" si="44"/>
        <v>56496.39</v>
      </c>
      <c r="AB44" s="119"/>
      <c r="AC44" s="142">
        <f>ROUND((Y44*Z44+AA44*AB44),2)</f>
        <v>0</v>
      </c>
      <c r="AD44" s="141">
        <f t="shared" si="45"/>
        <v>54161.08</v>
      </c>
      <c r="AE44" s="189">
        <v>0</v>
      </c>
      <c r="AF44" s="141">
        <f t="shared" si="46"/>
        <v>67273.070000000007</v>
      </c>
      <c r="AG44" s="189">
        <v>0</v>
      </c>
      <c r="AH44" s="141">
        <f t="shared" si="47"/>
        <v>64113.51</v>
      </c>
      <c r="AI44" s="120"/>
      <c r="AJ44" s="142">
        <f>ROUND((AD44*AE44+AF44*AG44+AH44*AI44),2)</f>
        <v>0</v>
      </c>
      <c r="AK44" s="141">
        <f t="shared" si="48"/>
        <v>29360.82</v>
      </c>
      <c r="AL44" s="120"/>
      <c r="AM44" s="141">
        <f t="shared" si="49"/>
        <v>36645.26</v>
      </c>
      <c r="AN44" s="120"/>
      <c r="AO44" s="141">
        <f t="shared" si="50"/>
        <v>34889.949999999997</v>
      </c>
      <c r="AP44" s="120"/>
      <c r="AQ44" s="142">
        <f>ROUND((AK44*AL44+AM44*AN44+AO44*AP44),2)</f>
        <v>0</v>
      </c>
      <c r="AR44" s="141">
        <f t="shared" si="51"/>
        <v>35718.379999999997</v>
      </c>
      <c r="AS44" s="189">
        <v>29</v>
      </c>
      <c r="AT44" s="142">
        <f>ROUND((AR44*AS44),2)</f>
        <v>1035833.02</v>
      </c>
      <c r="AU44" s="143">
        <f>AT44+AQ44+AJ44+AC44+X44+Q44+J44</f>
        <v>2914885.8</v>
      </c>
      <c r="AV44" s="120"/>
      <c r="AW44" s="141">
        <f t="shared" si="52"/>
        <v>65258.22</v>
      </c>
      <c r="AX44" s="121"/>
      <c r="AY44" s="141">
        <f t="shared" si="53"/>
        <v>81192.94</v>
      </c>
      <c r="AZ44" s="121"/>
      <c r="BA44" s="141">
        <f t="shared" si="54"/>
        <v>77353.2</v>
      </c>
      <c r="BB44" s="119"/>
      <c r="BC44" s="142">
        <f>ROUND((AW44*AX44+AY44*AZ44+BA44*BB44),2)</f>
        <v>0</v>
      </c>
      <c r="BD44" s="141">
        <f t="shared" si="55"/>
        <v>77787.27</v>
      </c>
      <c r="BE44" s="119"/>
      <c r="BF44" s="141">
        <f t="shared" si="56"/>
        <v>96908.93</v>
      </c>
      <c r="BG44" s="119"/>
      <c r="BH44" s="142">
        <f>ROUND((BD44*BE44+BF44*BG44),2)</f>
        <v>0</v>
      </c>
      <c r="BI44" s="144">
        <f>BH44+BC44</f>
        <v>0</v>
      </c>
      <c r="BJ44" s="141">
        <f t="shared" si="57"/>
        <v>25708.01</v>
      </c>
      <c r="BK44" s="119"/>
      <c r="BL44" s="141">
        <f t="shared" si="58"/>
        <v>27763.9</v>
      </c>
      <c r="BM44" s="119"/>
      <c r="BN44" s="141">
        <f t="shared" si="59"/>
        <v>23851.91</v>
      </c>
      <c r="BO44" s="119"/>
      <c r="BP44" s="142">
        <f>ROUND((BJ44*BK44+BL44*BM44+BN44*BO44),2)</f>
        <v>0</v>
      </c>
      <c r="BQ44" s="141">
        <f t="shared" si="60"/>
        <v>29360.82</v>
      </c>
      <c r="BR44" s="119"/>
      <c r="BS44" s="141">
        <f t="shared" si="61"/>
        <v>36645.26</v>
      </c>
      <c r="BT44" s="119"/>
      <c r="BU44" s="141">
        <f t="shared" si="62"/>
        <v>34889.949999999997</v>
      </c>
      <c r="BV44" s="119"/>
      <c r="BW44" s="142">
        <f>ROUND((BQ44*BR44+BS44*BT44+BU44*BV44),2)</f>
        <v>0</v>
      </c>
      <c r="BX44" s="145">
        <f>BV44+BT44+BR44+BO44+BM44+BK44+BG44+BE44+BB44+AZ44+AX44+AS44+AP44+AN44+AL44+AI44+AG44+AE44+AB44+Z44+W44+U44+S44+P44+N44+L44+I44+G44+E44</f>
        <v>84</v>
      </c>
      <c r="BY44" s="117"/>
      <c r="BZ44" s="117"/>
    </row>
    <row r="45" spans="1:78" s="116" customFormat="1" ht="16.5">
      <c r="A45" s="122"/>
      <c r="B45" s="148" t="s">
        <v>427</v>
      </c>
      <c r="C45" s="124"/>
      <c r="D45" s="141">
        <f t="shared" si="34"/>
        <v>31250.82</v>
      </c>
      <c r="E45" s="189"/>
      <c r="F45" s="141">
        <f t="shared" si="35"/>
        <v>38535.26</v>
      </c>
      <c r="G45" s="189"/>
      <c r="H45" s="141">
        <f t="shared" si="36"/>
        <v>36779.949999999997</v>
      </c>
      <c r="I45" s="189"/>
      <c r="J45" s="142">
        <f>ROUND((D45*E45+F45*G45+H45*I45),2)</f>
        <v>0</v>
      </c>
      <c r="K45" s="141">
        <f t="shared" si="37"/>
        <v>35546.49</v>
      </c>
      <c r="L45" s="114"/>
      <c r="M45" s="141">
        <f t="shared" si="38"/>
        <v>43923.6</v>
      </c>
      <c r="N45" s="114"/>
      <c r="O45" s="141">
        <f t="shared" si="39"/>
        <v>41904.99</v>
      </c>
      <c r="P45" s="119"/>
      <c r="Q45" s="142">
        <f>ROUND((K45*L45+M45*N45+O45*P45),2)</f>
        <v>0</v>
      </c>
      <c r="R45" s="141">
        <f t="shared" si="40"/>
        <v>41274.050000000003</v>
      </c>
      <c r="S45" s="119"/>
      <c r="T45" s="141">
        <f t="shared" si="41"/>
        <v>51108.05</v>
      </c>
      <c r="U45" s="119"/>
      <c r="V45" s="141">
        <f t="shared" si="42"/>
        <v>48738.38</v>
      </c>
      <c r="W45" s="119"/>
      <c r="X45" s="142">
        <f>ROUND((R45*S45+T45*U45+V45*W45),2)</f>
        <v>0</v>
      </c>
      <c r="Y45" s="141">
        <f t="shared" si="43"/>
        <v>45569.73</v>
      </c>
      <c r="Z45" s="119"/>
      <c r="AA45" s="141">
        <f t="shared" si="44"/>
        <v>56496.39</v>
      </c>
      <c r="AB45" s="119"/>
      <c r="AC45" s="142">
        <f>ROUND((Y45*Z45+AA45*AB45),2)</f>
        <v>0</v>
      </c>
      <c r="AD45" s="141">
        <f t="shared" si="45"/>
        <v>54161.08</v>
      </c>
      <c r="AE45" s="189">
        <v>0</v>
      </c>
      <c r="AF45" s="141">
        <f t="shared" si="46"/>
        <v>67273.070000000007</v>
      </c>
      <c r="AG45" s="189">
        <v>0</v>
      </c>
      <c r="AH45" s="141">
        <f t="shared" si="47"/>
        <v>64113.51</v>
      </c>
      <c r="AI45" s="120"/>
      <c r="AJ45" s="142">
        <f>ROUND((AD45*AE45+AF45*AG45+AH45*AI45),2)</f>
        <v>0</v>
      </c>
      <c r="AK45" s="141">
        <f t="shared" si="48"/>
        <v>29360.82</v>
      </c>
      <c r="AL45" s="120"/>
      <c r="AM45" s="141">
        <f t="shared" si="49"/>
        <v>36645.26</v>
      </c>
      <c r="AN45" s="120"/>
      <c r="AO45" s="141">
        <f t="shared" si="50"/>
        <v>34889.949999999997</v>
      </c>
      <c r="AP45" s="120"/>
      <c r="AQ45" s="142">
        <f>ROUND((AK45*AL45+AM45*AN45+AO45*AP45),2)</f>
        <v>0</v>
      </c>
      <c r="AR45" s="141">
        <f t="shared" si="51"/>
        <v>35718.379999999997</v>
      </c>
      <c r="AS45" s="189">
        <v>12</v>
      </c>
      <c r="AT45" s="142">
        <f>ROUND((AR45*AS45),2)</f>
        <v>428620.56</v>
      </c>
      <c r="AU45" s="143">
        <f>AT45+AQ45+AJ45+AC45+X45+Q45+J45</f>
        <v>428620.56</v>
      </c>
      <c r="AV45" s="120"/>
      <c r="AW45" s="141">
        <f t="shared" si="52"/>
        <v>65258.22</v>
      </c>
      <c r="AX45" s="121"/>
      <c r="AY45" s="141">
        <f t="shared" si="53"/>
        <v>81192.94</v>
      </c>
      <c r="AZ45" s="117"/>
      <c r="BA45" s="141">
        <f t="shared" si="54"/>
        <v>77353.2</v>
      </c>
      <c r="BB45" s="119"/>
      <c r="BC45" s="142">
        <f>ROUND((AW45*AX45+AY45*AZ45+BA45*BB45),2)</f>
        <v>0</v>
      </c>
      <c r="BD45" s="141">
        <f t="shared" si="55"/>
        <v>77787.27</v>
      </c>
      <c r="BE45" s="119"/>
      <c r="BF45" s="141">
        <f t="shared" si="56"/>
        <v>96908.93</v>
      </c>
      <c r="BG45" s="119"/>
      <c r="BH45" s="142">
        <f>ROUND((BD45*BE45+BF45*BG45),2)</f>
        <v>0</v>
      </c>
      <c r="BI45" s="144">
        <f>BH45+BC45</f>
        <v>0</v>
      </c>
      <c r="BJ45" s="141">
        <f t="shared" si="57"/>
        <v>25708.01</v>
      </c>
      <c r="BK45" s="119"/>
      <c r="BL45" s="141">
        <f t="shared" si="58"/>
        <v>27763.9</v>
      </c>
      <c r="BM45" s="119"/>
      <c r="BN45" s="141">
        <f t="shared" si="59"/>
        <v>23851.91</v>
      </c>
      <c r="BO45" s="119"/>
      <c r="BP45" s="142">
        <f>ROUND((BJ45*BK45+BL45*BM45+BN45*BO45),2)</f>
        <v>0</v>
      </c>
      <c r="BQ45" s="141">
        <f t="shared" si="60"/>
        <v>29360.82</v>
      </c>
      <c r="BR45" s="119"/>
      <c r="BS45" s="141">
        <f t="shared" si="61"/>
        <v>36645.26</v>
      </c>
      <c r="BT45" s="119"/>
      <c r="BU45" s="141">
        <f t="shared" si="62"/>
        <v>34889.949999999997</v>
      </c>
      <c r="BV45" s="119"/>
      <c r="BW45" s="142">
        <f>ROUND((BQ45*BR45+BS45*BT45+BU45*BV45),2)</f>
        <v>0</v>
      </c>
      <c r="BX45" s="145">
        <f>BV45+BT45+BR45+BO45+BM45+BK45+BG45+BE45+BB45+AZ45+AX45+AS45+AP45+AN45+AL45+AI45+AG45+AE45+AB45+Z45+W45+U45+S45+P45+N45+L45+I45+G45+E45</f>
        <v>12</v>
      </c>
      <c r="BY45" s="117"/>
      <c r="BZ45" s="117"/>
    </row>
    <row r="46" spans="1:78" s="193" customFormat="1" ht="16.5">
      <c r="A46" s="190"/>
      <c r="B46" s="174" t="s">
        <v>395</v>
      </c>
      <c r="C46" s="191"/>
      <c r="D46" s="141">
        <f t="shared" si="34"/>
        <v>31250.82</v>
      </c>
      <c r="E46" s="187">
        <f>E43+E44+E45</f>
        <v>192</v>
      </c>
      <c r="F46" s="141">
        <f t="shared" si="35"/>
        <v>38535.26</v>
      </c>
      <c r="G46" s="187">
        <f>G43+G44+G45</f>
        <v>202</v>
      </c>
      <c r="H46" s="141">
        <f t="shared" si="36"/>
        <v>36779.949999999997</v>
      </c>
      <c r="I46" s="187">
        <f>I43+I44+I45</f>
        <v>30</v>
      </c>
      <c r="J46" s="208">
        <f>J43+J44+J45</f>
        <v>14887678.459999999</v>
      </c>
      <c r="K46" s="141">
        <f t="shared" si="37"/>
        <v>35546.49</v>
      </c>
      <c r="L46" s="208">
        <f>L43+L44+L45</f>
        <v>0</v>
      </c>
      <c r="M46" s="141">
        <f t="shared" si="38"/>
        <v>43923.6</v>
      </c>
      <c r="N46" s="208">
        <f>N43+N44+N45</f>
        <v>0</v>
      </c>
      <c r="O46" s="141">
        <f t="shared" si="39"/>
        <v>41904.99</v>
      </c>
      <c r="P46" s="208">
        <f>P43+P44+P45</f>
        <v>0</v>
      </c>
      <c r="Q46" s="208">
        <f>Q43+Q44+Q45</f>
        <v>0</v>
      </c>
      <c r="R46" s="141">
        <f t="shared" si="40"/>
        <v>41274.050000000003</v>
      </c>
      <c r="S46" s="208">
        <f>S43+S44+S45</f>
        <v>0</v>
      </c>
      <c r="T46" s="141">
        <f t="shared" si="41"/>
        <v>51108.05</v>
      </c>
      <c r="U46" s="208">
        <f>U43+U44+U45</f>
        <v>0</v>
      </c>
      <c r="V46" s="141">
        <f t="shared" si="42"/>
        <v>48738.38</v>
      </c>
      <c r="W46" s="208">
        <f>W43+W44+W45</f>
        <v>0</v>
      </c>
      <c r="X46" s="208">
        <f>X43+X44+X45</f>
        <v>0</v>
      </c>
      <c r="Y46" s="141">
        <f t="shared" si="43"/>
        <v>45569.73</v>
      </c>
      <c r="Z46" s="208">
        <f>Z43+Z44+Z45</f>
        <v>0</v>
      </c>
      <c r="AA46" s="141">
        <f t="shared" si="44"/>
        <v>56496.39</v>
      </c>
      <c r="AB46" s="208">
        <f>AB43+AB44+AB45</f>
        <v>0</v>
      </c>
      <c r="AC46" s="208">
        <f>AC43+AC44+AC45</f>
        <v>0</v>
      </c>
      <c r="AD46" s="141">
        <f t="shared" si="45"/>
        <v>54161.08</v>
      </c>
      <c r="AE46" s="187">
        <f>AE43+AE44+AE45</f>
        <v>5</v>
      </c>
      <c r="AF46" s="141">
        <f t="shared" si="46"/>
        <v>67273.070000000007</v>
      </c>
      <c r="AG46" s="187">
        <f>AG43+AG44+AG45</f>
        <v>2</v>
      </c>
      <c r="AH46" s="141">
        <f t="shared" si="47"/>
        <v>64113.51</v>
      </c>
      <c r="AI46" s="208">
        <f>AI43+AI44+AI45</f>
        <v>0</v>
      </c>
      <c r="AJ46" s="208">
        <f>AJ43+AJ44+AJ45</f>
        <v>405351.54</v>
      </c>
      <c r="AK46" s="141">
        <f t="shared" si="48"/>
        <v>29360.82</v>
      </c>
      <c r="AL46" s="208">
        <f>AL43+AL44+AL45</f>
        <v>0</v>
      </c>
      <c r="AM46" s="141">
        <f t="shared" si="49"/>
        <v>36645.26</v>
      </c>
      <c r="AN46" s="208">
        <f>AN43+AN44+AN45</f>
        <v>0</v>
      </c>
      <c r="AO46" s="141">
        <f t="shared" si="50"/>
        <v>34889.949999999997</v>
      </c>
      <c r="AP46" s="208">
        <f>AP43+AP44+AP45</f>
        <v>0</v>
      </c>
      <c r="AQ46" s="208">
        <f>AQ43+AQ44+AQ45</f>
        <v>0</v>
      </c>
      <c r="AR46" s="141">
        <f t="shared" si="51"/>
        <v>35718.379999999997</v>
      </c>
      <c r="AS46" s="187">
        <f>AS43+AS44+AS45</f>
        <v>41</v>
      </c>
      <c r="AT46" s="208">
        <f>AT43+AT44+AT45</f>
        <v>1464453.58</v>
      </c>
      <c r="AU46" s="407">
        <f>AU43+AU44+AU45</f>
        <v>16757483.58</v>
      </c>
      <c r="AV46" s="679">
        <f>'старое не смотреть'!D69</f>
        <v>24954600</v>
      </c>
      <c r="AW46" s="141">
        <f t="shared" si="52"/>
        <v>65258.22</v>
      </c>
      <c r="AX46" s="208">
        <f>AX43+AX44+AX45</f>
        <v>0</v>
      </c>
      <c r="AY46" s="141">
        <f t="shared" si="53"/>
        <v>81192.94</v>
      </c>
      <c r="AZ46" s="208">
        <f>AZ43+AZ44+AZ45</f>
        <v>0</v>
      </c>
      <c r="BA46" s="141">
        <f t="shared" si="54"/>
        <v>77353.2</v>
      </c>
      <c r="BB46" s="208">
        <f>BB43+BB44+BB45</f>
        <v>0</v>
      </c>
      <c r="BC46" s="208">
        <f>BC43+BC44+BC45</f>
        <v>0</v>
      </c>
      <c r="BD46" s="141">
        <f t="shared" si="55"/>
        <v>77787.27</v>
      </c>
      <c r="BE46" s="208">
        <f>BE43+BE44+BE45</f>
        <v>0</v>
      </c>
      <c r="BF46" s="141">
        <f t="shared" si="56"/>
        <v>96908.93</v>
      </c>
      <c r="BG46" s="208">
        <f>BG43+BG44+BG45</f>
        <v>0</v>
      </c>
      <c r="BH46" s="208">
        <f>BH43+BH44+BH45</f>
        <v>0</v>
      </c>
      <c r="BI46" s="208">
        <f>BI43+BI44+BI45</f>
        <v>0</v>
      </c>
      <c r="BJ46" s="141">
        <f t="shared" si="57"/>
        <v>25708.01</v>
      </c>
      <c r="BK46" s="208">
        <f>BK43+BK44+BK45</f>
        <v>0</v>
      </c>
      <c r="BL46" s="141">
        <f t="shared" si="58"/>
        <v>27763.9</v>
      </c>
      <c r="BM46" s="208">
        <f>BM43+BM44+BM45</f>
        <v>0</v>
      </c>
      <c r="BN46" s="141">
        <f t="shared" si="59"/>
        <v>23851.91</v>
      </c>
      <c r="BO46" s="208">
        <f>BO43+BO44+BO45</f>
        <v>0</v>
      </c>
      <c r="BP46" s="208">
        <f>BP43+BP44+BP45</f>
        <v>0</v>
      </c>
      <c r="BQ46" s="141">
        <f t="shared" si="60"/>
        <v>29360.82</v>
      </c>
      <c r="BR46" s="208">
        <f t="shared" ref="BR46:BX46" si="69">BR43+BR44+BR45</f>
        <v>0</v>
      </c>
      <c r="BS46" s="141">
        <f t="shared" si="61"/>
        <v>36645.26</v>
      </c>
      <c r="BT46" s="208">
        <f t="shared" si="69"/>
        <v>0</v>
      </c>
      <c r="BU46" s="141">
        <f t="shared" si="62"/>
        <v>34889.949999999997</v>
      </c>
      <c r="BV46" s="208">
        <f t="shared" si="69"/>
        <v>0</v>
      </c>
      <c r="BW46" s="208">
        <f t="shared" si="69"/>
        <v>0</v>
      </c>
      <c r="BX46" s="209">
        <f t="shared" si="69"/>
        <v>472</v>
      </c>
      <c r="BY46" s="192"/>
      <c r="BZ46" s="192"/>
    </row>
    <row r="47" spans="1:78" s="168" customFormat="1" ht="17.25" thickBot="1">
      <c r="A47" s="194"/>
      <c r="B47" s="195" t="s">
        <v>428</v>
      </c>
      <c r="C47" s="195"/>
      <c r="D47" s="141">
        <f t="shared" si="34"/>
        <v>31250.82</v>
      </c>
      <c r="E47" s="210">
        <f>E39+E42+E46</f>
        <v>674</v>
      </c>
      <c r="F47" s="141">
        <f t="shared" si="35"/>
        <v>38535.26</v>
      </c>
      <c r="G47" s="210">
        <f>G39+G42+G46</f>
        <v>778</v>
      </c>
      <c r="H47" s="141">
        <f t="shared" si="36"/>
        <v>36779.949999999997</v>
      </c>
      <c r="I47" s="210">
        <f>I39+I42+I46</f>
        <v>153</v>
      </c>
      <c r="J47" s="680">
        <f>J39+J42+J46</f>
        <v>56670817.309999995</v>
      </c>
      <c r="K47" s="141">
        <f t="shared" si="37"/>
        <v>35546.49</v>
      </c>
      <c r="L47" s="210">
        <f>L39+L42+L46</f>
        <v>0</v>
      </c>
      <c r="M47" s="141">
        <f t="shared" si="38"/>
        <v>43923.6</v>
      </c>
      <c r="N47" s="210">
        <f>N39+N42+N46</f>
        <v>0</v>
      </c>
      <c r="O47" s="141">
        <f t="shared" si="39"/>
        <v>41904.99</v>
      </c>
      <c r="P47" s="210">
        <f>P39+P42+P46</f>
        <v>0</v>
      </c>
      <c r="Q47" s="210">
        <f>Q39+Q42+Q46</f>
        <v>0</v>
      </c>
      <c r="R47" s="141">
        <f t="shared" si="40"/>
        <v>41274.050000000003</v>
      </c>
      <c r="S47" s="210">
        <f>S39+S42+S46</f>
        <v>0</v>
      </c>
      <c r="T47" s="141">
        <f t="shared" si="41"/>
        <v>51108.05</v>
      </c>
      <c r="U47" s="210">
        <f>U39+U42+U46</f>
        <v>0</v>
      </c>
      <c r="V47" s="141">
        <f t="shared" si="42"/>
        <v>48738.38</v>
      </c>
      <c r="W47" s="210">
        <f>W39+W42+W46</f>
        <v>0</v>
      </c>
      <c r="X47" s="210">
        <f>X39+X42+X46</f>
        <v>0</v>
      </c>
      <c r="Y47" s="141">
        <f t="shared" si="43"/>
        <v>45569.73</v>
      </c>
      <c r="Z47" s="210">
        <f>Z39+Z42+Z46</f>
        <v>0</v>
      </c>
      <c r="AA47" s="141">
        <f t="shared" si="44"/>
        <v>56496.39</v>
      </c>
      <c r="AB47" s="210">
        <f>AB39+AB42+AB46</f>
        <v>0</v>
      </c>
      <c r="AC47" s="210">
        <f>AC39+AC42+AC46</f>
        <v>0</v>
      </c>
      <c r="AD47" s="141">
        <f t="shared" si="45"/>
        <v>54161.08</v>
      </c>
      <c r="AE47" s="210">
        <f>AE39+AE42+AE46</f>
        <v>16</v>
      </c>
      <c r="AF47" s="141">
        <f t="shared" si="46"/>
        <v>67273.070000000007</v>
      </c>
      <c r="AG47" s="210">
        <f>AG39+AG42+AG46</f>
        <v>19</v>
      </c>
      <c r="AH47" s="141">
        <f t="shared" si="47"/>
        <v>64113.51</v>
      </c>
      <c r="AI47" s="210">
        <f>AI39+AI42+AI46</f>
        <v>0</v>
      </c>
      <c r="AJ47" s="210">
        <f>AJ39+AJ42+AJ46</f>
        <v>2144765.61</v>
      </c>
      <c r="AK47" s="141">
        <f t="shared" si="48"/>
        <v>29360.82</v>
      </c>
      <c r="AL47" s="210">
        <f>AL39+AL42+AL46</f>
        <v>0</v>
      </c>
      <c r="AM47" s="141">
        <f t="shared" si="49"/>
        <v>36645.26</v>
      </c>
      <c r="AN47" s="210">
        <f>AN39+AN42+AN46</f>
        <v>0</v>
      </c>
      <c r="AO47" s="141">
        <f t="shared" si="50"/>
        <v>34889.949999999997</v>
      </c>
      <c r="AP47" s="210">
        <f>AP39+AP42+AP46</f>
        <v>0</v>
      </c>
      <c r="AQ47" s="210">
        <f>AQ39+AQ42+AQ46</f>
        <v>0</v>
      </c>
      <c r="AR47" s="141">
        <f t="shared" si="51"/>
        <v>35718.379999999997</v>
      </c>
      <c r="AS47" s="210">
        <f>AS39+AS42+AS46</f>
        <v>209</v>
      </c>
      <c r="AT47" s="210">
        <f>AT39+AT42+AT46</f>
        <v>7465141.4199999999</v>
      </c>
      <c r="AU47" s="857">
        <f>AU39+AU42+AU46</f>
        <v>66280724.339999996</v>
      </c>
      <c r="AV47" s="680">
        <f>AV46+AV42+AV39</f>
        <v>83906133.469999999</v>
      </c>
      <c r="AW47" s="141">
        <f t="shared" si="52"/>
        <v>65258.22</v>
      </c>
      <c r="AX47" s="210">
        <f>AX39+AX42+AX46</f>
        <v>0</v>
      </c>
      <c r="AY47" s="141">
        <f t="shared" si="53"/>
        <v>81192.94</v>
      </c>
      <c r="AZ47" s="210">
        <f>AZ39+AZ42+AZ46</f>
        <v>0</v>
      </c>
      <c r="BA47" s="141">
        <f t="shared" si="54"/>
        <v>77353.2</v>
      </c>
      <c r="BB47" s="210">
        <f>BB39+BB42+BB46</f>
        <v>0</v>
      </c>
      <c r="BC47" s="210">
        <f>BC39+BC42+BC46</f>
        <v>0</v>
      </c>
      <c r="BD47" s="141">
        <f t="shared" si="55"/>
        <v>77787.27</v>
      </c>
      <c r="BE47" s="210">
        <f>BE39+BE42+BE46</f>
        <v>0</v>
      </c>
      <c r="BF47" s="141">
        <f t="shared" si="56"/>
        <v>96908.93</v>
      </c>
      <c r="BG47" s="210">
        <f>BG39+BG42+BG46</f>
        <v>0</v>
      </c>
      <c r="BH47" s="210">
        <f>BH39+BH42+BH46</f>
        <v>0</v>
      </c>
      <c r="BI47" s="210">
        <f>BI39+BI42+BI46</f>
        <v>0</v>
      </c>
      <c r="BJ47" s="141">
        <f t="shared" si="57"/>
        <v>25708.01</v>
      </c>
      <c r="BK47" s="210">
        <f>BK39+BK42+BK46</f>
        <v>0</v>
      </c>
      <c r="BL47" s="141">
        <f t="shared" si="58"/>
        <v>27763.9</v>
      </c>
      <c r="BM47" s="210">
        <f>BM39+BM42+BM46</f>
        <v>0</v>
      </c>
      <c r="BN47" s="141">
        <f t="shared" si="59"/>
        <v>23851.91</v>
      </c>
      <c r="BO47" s="210">
        <f>BO39+BO42+BO46</f>
        <v>0</v>
      </c>
      <c r="BP47" s="210">
        <f>BP39+BP42+BP46</f>
        <v>0</v>
      </c>
      <c r="BQ47" s="141">
        <f t="shared" si="60"/>
        <v>29360.82</v>
      </c>
      <c r="BR47" s="210">
        <f t="shared" ref="BR47:BX47" si="70">BR39+BR42+BR46</f>
        <v>0</v>
      </c>
      <c r="BS47" s="141">
        <f t="shared" si="61"/>
        <v>36645.26</v>
      </c>
      <c r="BT47" s="210">
        <f t="shared" si="70"/>
        <v>0</v>
      </c>
      <c r="BU47" s="141">
        <f t="shared" si="62"/>
        <v>34889.949999999997</v>
      </c>
      <c r="BV47" s="210">
        <f t="shared" si="70"/>
        <v>0</v>
      </c>
      <c r="BW47" s="210">
        <f t="shared" si="70"/>
        <v>0</v>
      </c>
      <c r="BX47" s="211">
        <f t="shared" si="70"/>
        <v>1849</v>
      </c>
      <c r="BY47" s="167"/>
      <c r="BZ47" s="167"/>
    </row>
    <row r="48" spans="1:78" ht="18.75">
      <c r="A48" s="1631" t="s">
        <v>92</v>
      </c>
      <c r="B48" s="1632"/>
      <c r="C48" s="1633"/>
      <c r="D48" s="141">
        <f t="shared" si="34"/>
        <v>31250.82</v>
      </c>
      <c r="F48" s="141">
        <f t="shared" si="35"/>
        <v>38535.26</v>
      </c>
      <c r="H48" s="141">
        <f t="shared" si="36"/>
        <v>36779.949999999997</v>
      </c>
      <c r="K48" s="141">
        <f t="shared" si="37"/>
        <v>35546.49</v>
      </c>
      <c r="M48" s="141">
        <f t="shared" si="38"/>
        <v>43923.6</v>
      </c>
      <c r="O48" s="141">
        <f t="shared" si="39"/>
        <v>41904.99</v>
      </c>
      <c r="R48" s="141">
        <f t="shared" si="40"/>
        <v>41274.050000000003</v>
      </c>
      <c r="T48" s="141">
        <f t="shared" si="41"/>
        <v>51108.05</v>
      </c>
      <c r="V48" s="141">
        <f t="shared" si="42"/>
        <v>48738.38</v>
      </c>
      <c r="Y48" s="141">
        <f t="shared" si="43"/>
        <v>45569.73</v>
      </c>
      <c r="AA48" s="141">
        <f t="shared" si="44"/>
        <v>56496.39</v>
      </c>
      <c r="AD48" s="141">
        <f t="shared" si="45"/>
        <v>54161.08</v>
      </c>
      <c r="AE48" s="184"/>
      <c r="AF48" s="141">
        <f t="shared" si="46"/>
        <v>67273.070000000007</v>
      </c>
      <c r="AG48" s="184"/>
      <c r="AH48" s="141">
        <f t="shared" si="47"/>
        <v>64113.51</v>
      </c>
      <c r="AK48" s="141">
        <f t="shared" si="48"/>
        <v>29360.82</v>
      </c>
      <c r="AM48" s="141">
        <f t="shared" si="49"/>
        <v>36645.26</v>
      </c>
      <c r="AO48" s="141">
        <f t="shared" si="50"/>
        <v>34889.949999999997</v>
      </c>
      <c r="AR48" s="141">
        <f t="shared" si="51"/>
        <v>35718.379999999997</v>
      </c>
      <c r="AV48" s="212">
        <f>ROUND(AV57/AU57,3)</f>
        <v>1.1299999999999999</v>
      </c>
      <c r="AW48" s="141">
        <f t="shared" si="52"/>
        <v>65258.22</v>
      </c>
      <c r="AY48" s="141">
        <f t="shared" si="53"/>
        <v>81192.94</v>
      </c>
      <c r="BA48" s="141">
        <f t="shared" si="54"/>
        <v>77353.2</v>
      </c>
      <c r="BD48" s="141">
        <f t="shared" si="55"/>
        <v>77787.27</v>
      </c>
      <c r="BF48" s="141">
        <f t="shared" si="56"/>
        <v>96908.93</v>
      </c>
      <c r="BJ48" s="141">
        <f t="shared" si="57"/>
        <v>25708.01</v>
      </c>
      <c r="BL48" s="141">
        <f t="shared" si="58"/>
        <v>27763.9</v>
      </c>
      <c r="BN48" s="141">
        <f t="shared" si="59"/>
        <v>23851.91</v>
      </c>
      <c r="BQ48" s="141">
        <f t="shared" si="60"/>
        <v>29360.82</v>
      </c>
      <c r="BS48" s="141">
        <f t="shared" si="61"/>
        <v>36645.26</v>
      </c>
      <c r="BU48" s="141">
        <f t="shared" si="62"/>
        <v>34889.949999999997</v>
      </c>
      <c r="BY48" s="178"/>
      <c r="BZ48" s="178"/>
    </row>
    <row r="49" spans="1:78" s="219" customFormat="1" ht="15.75">
      <c r="A49" s="213">
        <v>1</v>
      </c>
      <c r="B49" s="214" t="s">
        <v>429</v>
      </c>
      <c r="C49" s="215" t="s">
        <v>388</v>
      </c>
      <c r="D49" s="141">
        <f t="shared" si="34"/>
        <v>31250.82</v>
      </c>
      <c r="E49" s="184">
        <v>218</v>
      </c>
      <c r="F49" s="141">
        <f t="shared" si="35"/>
        <v>38535.26</v>
      </c>
      <c r="G49" s="184">
        <v>219</v>
      </c>
      <c r="H49" s="141">
        <f t="shared" si="36"/>
        <v>36779.949999999997</v>
      </c>
      <c r="I49" s="184">
        <v>51</v>
      </c>
      <c r="J49" s="142">
        <f>ROUND((D49*E49+F49*G49+H49*I49),2)</f>
        <v>17127678.149999999</v>
      </c>
      <c r="K49" s="141">
        <f t="shared" si="37"/>
        <v>35546.49</v>
      </c>
      <c r="L49" s="216"/>
      <c r="M49" s="141">
        <f t="shared" si="38"/>
        <v>43923.6</v>
      </c>
      <c r="N49" s="216"/>
      <c r="O49" s="141">
        <f t="shared" si="39"/>
        <v>41904.99</v>
      </c>
      <c r="P49" s="216"/>
      <c r="Q49" s="142">
        <f>ROUND((K49*L49+M49*N49+O49*P49),2)</f>
        <v>0</v>
      </c>
      <c r="R49" s="141">
        <f t="shared" si="40"/>
        <v>41274.050000000003</v>
      </c>
      <c r="S49" s="216"/>
      <c r="T49" s="141">
        <f t="shared" si="41"/>
        <v>51108.05</v>
      </c>
      <c r="U49" s="216"/>
      <c r="V49" s="141">
        <f t="shared" si="42"/>
        <v>48738.38</v>
      </c>
      <c r="W49" s="216"/>
      <c r="X49" s="142">
        <f>ROUND((R49*S49+T49*U49+V49*W49),2)</f>
        <v>0</v>
      </c>
      <c r="Y49" s="141">
        <f t="shared" si="43"/>
        <v>45569.73</v>
      </c>
      <c r="Z49" s="216"/>
      <c r="AA49" s="141">
        <f t="shared" si="44"/>
        <v>56496.39</v>
      </c>
      <c r="AB49" s="216"/>
      <c r="AC49" s="142">
        <f>ROUND((Y49*Z49+AA49*AB49),2)</f>
        <v>0</v>
      </c>
      <c r="AD49" s="141">
        <f t="shared" si="45"/>
        <v>54161.08</v>
      </c>
      <c r="AE49" s="104">
        <v>7</v>
      </c>
      <c r="AF49" s="141">
        <f t="shared" si="46"/>
        <v>67273.070000000007</v>
      </c>
      <c r="AG49" s="104">
        <v>23</v>
      </c>
      <c r="AH49" s="141">
        <f t="shared" si="47"/>
        <v>64113.51</v>
      </c>
      <c r="AI49" s="216"/>
      <c r="AJ49" s="142">
        <f>ROUND((AD49*AE49+AF49*AG49+AH49*AI49),2)</f>
        <v>1926408.17</v>
      </c>
      <c r="AK49" s="141">
        <f t="shared" si="48"/>
        <v>29360.82</v>
      </c>
      <c r="AL49" s="216"/>
      <c r="AM49" s="141">
        <f t="shared" si="49"/>
        <v>36645.26</v>
      </c>
      <c r="AN49" s="216"/>
      <c r="AO49" s="141">
        <f t="shared" si="50"/>
        <v>34889.949999999997</v>
      </c>
      <c r="AP49" s="216"/>
      <c r="AQ49" s="142">
        <f>ROUND((AK49*AL49+AM49*AN49+AO49*AP49),2)</f>
        <v>0</v>
      </c>
      <c r="AR49" s="141">
        <f t="shared" si="51"/>
        <v>35718.379999999997</v>
      </c>
      <c r="AS49" s="216"/>
      <c r="AT49" s="142">
        <f>ROUND((AR49*AS49),2)</f>
        <v>0</v>
      </c>
      <c r="AU49" s="143">
        <f>AT49+AQ49+AJ49+AC49+X49+Q49+J49</f>
        <v>19054086.32</v>
      </c>
      <c r="AV49" s="216">
        <f>AU49</f>
        <v>19054086.32</v>
      </c>
      <c r="AW49" s="141">
        <f t="shared" si="52"/>
        <v>65258.22</v>
      </c>
      <c r="AX49" s="216"/>
      <c r="AY49" s="141">
        <f t="shared" si="53"/>
        <v>81192.94</v>
      </c>
      <c r="AZ49" s="216"/>
      <c r="BA49" s="141">
        <f t="shared" si="54"/>
        <v>77353.2</v>
      </c>
      <c r="BB49" s="216"/>
      <c r="BC49" s="142">
        <f>ROUND((AW49*AX49+AY49*AZ49+BA49*BB49),2)</f>
        <v>0</v>
      </c>
      <c r="BD49" s="141">
        <f t="shared" si="55"/>
        <v>77787.27</v>
      </c>
      <c r="BE49" s="216"/>
      <c r="BF49" s="141">
        <f t="shared" si="56"/>
        <v>96908.93</v>
      </c>
      <c r="BG49" s="216"/>
      <c r="BH49" s="142">
        <f>ROUND((BD49*BE49+BF49*BG49),2)</f>
        <v>0</v>
      </c>
      <c r="BI49" s="144">
        <f>BH49+BC49</f>
        <v>0</v>
      </c>
      <c r="BJ49" s="141">
        <f t="shared" si="57"/>
        <v>25708.01</v>
      </c>
      <c r="BK49" s="216"/>
      <c r="BL49" s="141">
        <f t="shared" si="58"/>
        <v>27763.9</v>
      </c>
      <c r="BM49" s="216"/>
      <c r="BN49" s="141">
        <f t="shared" si="59"/>
        <v>23851.91</v>
      </c>
      <c r="BO49" s="216"/>
      <c r="BP49" s="142">
        <f>ROUND((BJ49*BK49+BL49*BM49+BN49*BO49),2)</f>
        <v>0</v>
      </c>
      <c r="BQ49" s="141">
        <f t="shared" si="60"/>
        <v>29360.82</v>
      </c>
      <c r="BR49" s="216"/>
      <c r="BS49" s="141">
        <f t="shared" si="61"/>
        <v>36645.26</v>
      </c>
      <c r="BT49" s="216"/>
      <c r="BU49" s="141">
        <f t="shared" si="62"/>
        <v>34889.949999999997</v>
      </c>
      <c r="BV49" s="216"/>
      <c r="BW49" s="142">
        <f>ROUND((BQ49*BR49+BS49*BT49+BU49*BV49),2)</f>
        <v>0</v>
      </c>
      <c r="BX49" s="217">
        <f>BV49+BT49+BR49+BO49+BM49+BK49+BG49+BE49+BB49+AZ49+AX49+AS49+AP49+AN49+AL49+AI49+AG49+AE49+AB49+Z49+W49+U49+S49+P49+N49+L49+I49+G49+E49</f>
        <v>518</v>
      </c>
      <c r="BY49" s="218"/>
      <c r="BZ49" s="218"/>
    </row>
    <row r="50" spans="1:78" s="106" customFormat="1" ht="25.5">
      <c r="A50" s="95">
        <v>2</v>
      </c>
      <c r="B50" s="220" t="s">
        <v>147</v>
      </c>
      <c r="C50" s="140" t="s">
        <v>388</v>
      </c>
      <c r="D50" s="141">
        <f t="shared" si="34"/>
        <v>31250.82</v>
      </c>
      <c r="E50" s="104">
        <v>107</v>
      </c>
      <c r="F50" s="141">
        <f t="shared" si="35"/>
        <v>38535.26</v>
      </c>
      <c r="G50" s="104">
        <v>114</v>
      </c>
      <c r="H50" s="141">
        <f t="shared" si="36"/>
        <v>36779.949999999997</v>
      </c>
      <c r="I50" s="104">
        <v>46</v>
      </c>
      <c r="J50" s="142">
        <f>ROUND((D50*E50+F50*G50+H50*I50),2)</f>
        <v>9428735.0800000001</v>
      </c>
      <c r="K50" s="141">
        <f t="shared" si="37"/>
        <v>35546.49</v>
      </c>
      <c r="L50" s="101"/>
      <c r="M50" s="141">
        <f t="shared" si="38"/>
        <v>43923.6</v>
      </c>
      <c r="N50" s="101"/>
      <c r="O50" s="141">
        <f t="shared" si="39"/>
        <v>41904.99</v>
      </c>
      <c r="P50" s="101"/>
      <c r="Q50" s="142">
        <f>ROUND((K50*L50+M50*N50+O50*P50),2)</f>
        <v>0</v>
      </c>
      <c r="R50" s="141">
        <f t="shared" si="40"/>
        <v>41274.050000000003</v>
      </c>
      <c r="S50" s="100"/>
      <c r="T50" s="141">
        <f t="shared" si="41"/>
        <v>51108.05</v>
      </c>
      <c r="U50" s="100"/>
      <c r="V50" s="141">
        <f t="shared" si="42"/>
        <v>48738.38</v>
      </c>
      <c r="W50" s="103"/>
      <c r="X50" s="142">
        <f>ROUND((R50*S50+T50*U50+V50*W50),2)</f>
        <v>0</v>
      </c>
      <c r="Y50" s="141">
        <f t="shared" si="43"/>
        <v>45569.73</v>
      </c>
      <c r="Z50" s="100"/>
      <c r="AA50" s="141">
        <f t="shared" si="44"/>
        <v>56496.39</v>
      </c>
      <c r="AB50" s="100"/>
      <c r="AC50" s="142">
        <f>ROUND((Y50*Z50+AA50*AB50),2)</f>
        <v>0</v>
      </c>
      <c r="AD50" s="141">
        <f t="shared" si="45"/>
        <v>54161.08</v>
      </c>
      <c r="AE50" s="114">
        <v>3</v>
      </c>
      <c r="AF50" s="141">
        <f t="shared" si="46"/>
        <v>67273.070000000007</v>
      </c>
      <c r="AG50" s="114"/>
      <c r="AH50" s="141">
        <f t="shared" si="47"/>
        <v>64113.51</v>
      </c>
      <c r="AI50" s="101"/>
      <c r="AJ50" s="142">
        <f>ROUND((AD50*AE50+AF50*AG50+AH50*AI50),2)</f>
        <v>162483.24</v>
      </c>
      <c r="AK50" s="141">
        <f t="shared" si="48"/>
        <v>29360.82</v>
      </c>
      <c r="AL50" s="101"/>
      <c r="AM50" s="141">
        <f t="shared" si="49"/>
        <v>36645.26</v>
      </c>
      <c r="AN50" s="101"/>
      <c r="AO50" s="141">
        <f t="shared" si="50"/>
        <v>34889.949999999997</v>
      </c>
      <c r="AP50" s="101"/>
      <c r="AQ50" s="142">
        <f>ROUND((AK50*AL50+AM50*AN50+AO50*AP50),2)</f>
        <v>0</v>
      </c>
      <c r="AR50" s="141">
        <f t="shared" si="51"/>
        <v>35718.379999999997</v>
      </c>
      <c r="AS50" s="104"/>
      <c r="AT50" s="142">
        <f>ROUND((AR50*AS50),2)</f>
        <v>0</v>
      </c>
      <c r="AU50" s="143">
        <f>AT50+AQ50+AJ50+AC50+X50+Q50+J50</f>
        <v>9591218.3200000003</v>
      </c>
      <c r="AV50" s="105"/>
      <c r="AW50" s="141">
        <f t="shared" si="52"/>
        <v>65258.22</v>
      </c>
      <c r="AX50" s="102"/>
      <c r="AY50" s="141">
        <f t="shared" si="53"/>
        <v>81192.94</v>
      </c>
      <c r="AZ50" s="102"/>
      <c r="BA50" s="141">
        <f t="shared" si="54"/>
        <v>77353.2</v>
      </c>
      <c r="BB50" s="102"/>
      <c r="BC50" s="142">
        <f>ROUND((AW50*AX50+AY50*AZ50+BA50*BB50),2)</f>
        <v>0</v>
      </c>
      <c r="BD50" s="141">
        <f t="shared" si="55"/>
        <v>77787.27</v>
      </c>
      <c r="BE50" s="100"/>
      <c r="BF50" s="141">
        <f t="shared" si="56"/>
        <v>96908.93</v>
      </c>
      <c r="BG50" s="100"/>
      <c r="BH50" s="142">
        <f>ROUND((BD50*BE50+BF50*BG50),2)</f>
        <v>0</v>
      </c>
      <c r="BI50" s="144">
        <f>BH50+BC50</f>
        <v>0</v>
      </c>
      <c r="BJ50" s="141">
        <f t="shared" si="57"/>
        <v>25708.01</v>
      </c>
      <c r="BK50" s="100"/>
      <c r="BL50" s="141">
        <f t="shared" si="58"/>
        <v>27763.9</v>
      </c>
      <c r="BM50" s="100"/>
      <c r="BN50" s="141">
        <f t="shared" si="59"/>
        <v>23851.91</v>
      </c>
      <c r="BO50" s="100"/>
      <c r="BP50" s="142">
        <f>ROUND((BJ50*BK50+BL50*BM50+BN50*BO50),2)</f>
        <v>0</v>
      </c>
      <c r="BQ50" s="141">
        <f t="shared" si="60"/>
        <v>29360.82</v>
      </c>
      <c r="BR50" s="103"/>
      <c r="BS50" s="141">
        <f t="shared" si="61"/>
        <v>36645.26</v>
      </c>
      <c r="BT50" s="103"/>
      <c r="BU50" s="141">
        <f t="shared" si="62"/>
        <v>34889.949999999997</v>
      </c>
      <c r="BV50" s="103"/>
      <c r="BW50" s="142">
        <f>ROUND((BQ50*BR50+BS50*BT50+BU50*BV50),2)</f>
        <v>0</v>
      </c>
      <c r="BX50" s="145">
        <f>BV50+BT50+BR50+BO50+BM50+BK50+BG50+BE50+BB50+AZ50+AX50+AS50+AP50+AN50+AL50+AI50+AG50+AE50+AB50+Z50+W50+U50+S50+P50+N50+L50+I50+G50+E50</f>
        <v>270</v>
      </c>
      <c r="BY50" s="107"/>
      <c r="BZ50" s="107"/>
    </row>
    <row r="51" spans="1:78" s="116" customFormat="1" ht="51.75">
      <c r="A51" s="108"/>
      <c r="B51" s="221" t="s">
        <v>430</v>
      </c>
      <c r="C51" s="147" t="s">
        <v>388</v>
      </c>
      <c r="D51" s="141">
        <f t="shared" si="34"/>
        <v>31250.82</v>
      </c>
      <c r="E51" s="114">
        <v>103</v>
      </c>
      <c r="F51" s="141">
        <f t="shared" si="35"/>
        <v>38535.26</v>
      </c>
      <c r="G51" s="114">
        <v>112</v>
      </c>
      <c r="H51" s="141">
        <f t="shared" si="36"/>
        <v>36779.949999999997</v>
      </c>
      <c r="I51" s="114">
        <v>31</v>
      </c>
      <c r="J51" s="142">
        <f>ROUND((D51*E51+F51*G51+H51*I51),2)</f>
        <v>8674962.0299999993</v>
      </c>
      <c r="K51" s="141">
        <f t="shared" si="37"/>
        <v>35546.49</v>
      </c>
      <c r="L51" s="111"/>
      <c r="M51" s="141">
        <f t="shared" si="38"/>
        <v>43923.6</v>
      </c>
      <c r="N51" s="111"/>
      <c r="O51" s="141">
        <f t="shared" si="39"/>
        <v>41904.99</v>
      </c>
      <c r="P51" s="111"/>
      <c r="Q51" s="142">
        <f>ROUND((K51*L51+M51*N51+O51*P51),2)</f>
        <v>0</v>
      </c>
      <c r="R51" s="141">
        <f t="shared" si="40"/>
        <v>41274.050000000003</v>
      </c>
      <c r="S51" s="111"/>
      <c r="T51" s="141">
        <f t="shared" si="41"/>
        <v>51108.05</v>
      </c>
      <c r="U51" s="111"/>
      <c r="V51" s="141">
        <f t="shared" si="42"/>
        <v>48738.38</v>
      </c>
      <c r="W51" s="111"/>
      <c r="X51" s="142">
        <f>ROUND((R51*S51+T51*U51+V51*W51),2)</f>
        <v>0</v>
      </c>
      <c r="Y51" s="141">
        <f t="shared" si="43"/>
        <v>45569.73</v>
      </c>
      <c r="Z51" s="111"/>
      <c r="AA51" s="141">
        <f t="shared" si="44"/>
        <v>56496.39</v>
      </c>
      <c r="AB51" s="111"/>
      <c r="AC51" s="142">
        <f>ROUND((Y51*Z51+AA51*AB51),2)</f>
        <v>0</v>
      </c>
      <c r="AD51" s="141">
        <f t="shared" si="45"/>
        <v>54161.08</v>
      </c>
      <c r="AE51" s="114">
        <v>6</v>
      </c>
      <c r="AF51" s="141">
        <f t="shared" si="46"/>
        <v>67273.070000000007</v>
      </c>
      <c r="AG51" s="114">
        <v>4</v>
      </c>
      <c r="AH51" s="141">
        <f t="shared" si="47"/>
        <v>64113.51</v>
      </c>
      <c r="AI51" s="113"/>
      <c r="AJ51" s="142">
        <f>ROUND((AD51*AE51+AF51*AG51+AH51*AI51),2)</f>
        <v>594058.76</v>
      </c>
      <c r="AK51" s="141">
        <f t="shared" si="48"/>
        <v>29360.82</v>
      </c>
      <c r="AL51" s="113"/>
      <c r="AM51" s="141">
        <f t="shared" si="49"/>
        <v>36645.26</v>
      </c>
      <c r="AN51" s="113"/>
      <c r="AO51" s="141">
        <f t="shared" si="50"/>
        <v>34889.949999999997</v>
      </c>
      <c r="AP51" s="113"/>
      <c r="AQ51" s="142">
        <f>ROUND((AK51*AL51+AM51*AN51+AO51*AP51),2)</f>
        <v>0</v>
      </c>
      <c r="AR51" s="141">
        <f t="shared" si="51"/>
        <v>35718.379999999997</v>
      </c>
      <c r="AS51" s="114"/>
      <c r="AT51" s="142">
        <f>ROUND((AR51*AS51),2)</f>
        <v>0</v>
      </c>
      <c r="AU51" s="143">
        <f>AT51+AQ51+AJ51+AC51+X51+Q51+J51</f>
        <v>9269020.7899999991</v>
      </c>
      <c r="AV51" s="115"/>
      <c r="AW51" s="141">
        <f t="shared" si="52"/>
        <v>65258.22</v>
      </c>
      <c r="AX51" s="113"/>
      <c r="AY51" s="141">
        <f t="shared" si="53"/>
        <v>81192.94</v>
      </c>
      <c r="AZ51" s="113"/>
      <c r="BA51" s="141">
        <f t="shared" si="54"/>
        <v>77353.2</v>
      </c>
      <c r="BB51" s="113"/>
      <c r="BC51" s="142">
        <f>ROUND((AW51*AX51+AY51*AZ51+BA51*BB51),2)</f>
        <v>0</v>
      </c>
      <c r="BD51" s="141">
        <f t="shared" si="55"/>
        <v>77787.27</v>
      </c>
      <c r="BE51" s="111"/>
      <c r="BF51" s="141">
        <f t="shared" si="56"/>
        <v>96908.93</v>
      </c>
      <c r="BG51" s="111"/>
      <c r="BH51" s="142">
        <f>ROUND((BD51*BE51+BF51*BG51),2)</f>
        <v>0</v>
      </c>
      <c r="BI51" s="144">
        <f>BH51+BC51</f>
        <v>0</v>
      </c>
      <c r="BJ51" s="141">
        <f t="shared" si="57"/>
        <v>25708.01</v>
      </c>
      <c r="BK51" s="111"/>
      <c r="BL51" s="141">
        <f t="shared" si="58"/>
        <v>27763.9</v>
      </c>
      <c r="BM51" s="111"/>
      <c r="BN51" s="141">
        <f t="shared" si="59"/>
        <v>23851.91</v>
      </c>
      <c r="BO51" s="111"/>
      <c r="BP51" s="142">
        <f>ROUND((BJ51*BK51+BL51*BM51+BN51*BO51),2)</f>
        <v>0</v>
      </c>
      <c r="BQ51" s="141">
        <f t="shared" si="60"/>
        <v>29360.82</v>
      </c>
      <c r="BR51" s="111"/>
      <c r="BS51" s="141">
        <f t="shared" si="61"/>
        <v>36645.26</v>
      </c>
      <c r="BT51" s="111"/>
      <c r="BU51" s="141">
        <f t="shared" si="62"/>
        <v>34889.949999999997</v>
      </c>
      <c r="BV51" s="111"/>
      <c r="BW51" s="142">
        <f>ROUND((BQ51*BR51+BS51*BT51+BU51*BV51),2)</f>
        <v>0</v>
      </c>
      <c r="BX51" s="222">
        <f>BV51+BT51+BR51+BO51+BM51+BK51+BG51+BE51+BB51+AZ51+AX51+AS51+AP51+AN51+AL51+AI51+AG51+AE51+AB51+Z51+W51+U51+S51+P51+N51+L51+I51+G51+E51</f>
        <v>256</v>
      </c>
      <c r="BY51" s="117"/>
      <c r="BZ51" s="117"/>
    </row>
    <row r="52" spans="1:78" s="193" customFormat="1" ht="25.5">
      <c r="A52" s="223">
        <v>2</v>
      </c>
      <c r="B52" s="214" t="s">
        <v>431</v>
      </c>
      <c r="C52" s="224" t="s">
        <v>388</v>
      </c>
      <c r="D52" s="141">
        <f t="shared" si="34"/>
        <v>31250.82</v>
      </c>
      <c r="E52" s="114">
        <f>E50+E51</f>
        <v>210</v>
      </c>
      <c r="F52" s="141">
        <f t="shared" si="35"/>
        <v>38535.26</v>
      </c>
      <c r="G52" s="114">
        <f>G50+G51</f>
        <v>226</v>
      </c>
      <c r="H52" s="141">
        <f t="shared" si="36"/>
        <v>36779.949999999997</v>
      </c>
      <c r="I52" s="114">
        <f>I50+I51</f>
        <v>77</v>
      </c>
      <c r="J52" s="225">
        <f>J50+J51</f>
        <v>18103697.109999999</v>
      </c>
      <c r="K52" s="141">
        <f t="shared" si="37"/>
        <v>35546.49</v>
      </c>
      <c r="L52" s="225">
        <f>L50+L51</f>
        <v>0</v>
      </c>
      <c r="M52" s="141">
        <f t="shared" si="38"/>
        <v>43923.6</v>
      </c>
      <c r="N52" s="225">
        <f>N50+N51</f>
        <v>0</v>
      </c>
      <c r="O52" s="141">
        <f t="shared" si="39"/>
        <v>41904.99</v>
      </c>
      <c r="P52" s="225">
        <f>P50+P51</f>
        <v>0</v>
      </c>
      <c r="Q52" s="225">
        <f>Q50+Q51</f>
        <v>0</v>
      </c>
      <c r="R52" s="141">
        <f t="shared" si="40"/>
        <v>41274.050000000003</v>
      </c>
      <c r="S52" s="225">
        <f>S50+S51</f>
        <v>0</v>
      </c>
      <c r="T52" s="141">
        <f t="shared" si="41"/>
        <v>51108.05</v>
      </c>
      <c r="U52" s="225">
        <f>U50+U51</f>
        <v>0</v>
      </c>
      <c r="V52" s="141">
        <f t="shared" si="42"/>
        <v>48738.38</v>
      </c>
      <c r="W52" s="225">
        <f>W50+W51</f>
        <v>0</v>
      </c>
      <c r="X52" s="225">
        <f>X50+X51</f>
        <v>0</v>
      </c>
      <c r="Y52" s="141">
        <f t="shared" si="43"/>
        <v>45569.73</v>
      </c>
      <c r="Z52" s="225">
        <f>Z50+Z51</f>
        <v>0</v>
      </c>
      <c r="AA52" s="141">
        <f t="shared" si="44"/>
        <v>56496.39</v>
      </c>
      <c r="AB52" s="225">
        <f>AB50+AB51</f>
        <v>0</v>
      </c>
      <c r="AC52" s="225">
        <f>AC50+AC51</f>
        <v>0</v>
      </c>
      <c r="AD52" s="141">
        <f t="shared" si="45"/>
        <v>54161.08</v>
      </c>
      <c r="AE52" s="104">
        <f>AE50+AE51</f>
        <v>9</v>
      </c>
      <c r="AF52" s="141">
        <f t="shared" si="46"/>
        <v>67273.070000000007</v>
      </c>
      <c r="AG52" s="104">
        <f>AG50+AG51</f>
        <v>4</v>
      </c>
      <c r="AH52" s="141">
        <f t="shared" si="47"/>
        <v>64113.51</v>
      </c>
      <c r="AI52" s="225">
        <f>AI50+AI51</f>
        <v>0</v>
      </c>
      <c r="AJ52" s="225">
        <f>AJ50+AJ51</f>
        <v>756542</v>
      </c>
      <c r="AK52" s="141">
        <f t="shared" si="48"/>
        <v>29360.82</v>
      </c>
      <c r="AL52" s="225">
        <f>AL50+AL51</f>
        <v>0</v>
      </c>
      <c r="AM52" s="141">
        <f t="shared" si="49"/>
        <v>36645.26</v>
      </c>
      <c r="AN52" s="225">
        <f>AN50+AN51</f>
        <v>0</v>
      </c>
      <c r="AO52" s="141">
        <f t="shared" si="50"/>
        <v>34889.949999999997</v>
      </c>
      <c r="AP52" s="225">
        <f>AP50+AP51</f>
        <v>0</v>
      </c>
      <c r="AQ52" s="225">
        <f>AQ50+AQ51</f>
        <v>0</v>
      </c>
      <c r="AR52" s="141">
        <f t="shared" si="51"/>
        <v>35718.379999999997</v>
      </c>
      <c r="AS52" s="225">
        <f>AS50+AS51</f>
        <v>0</v>
      </c>
      <c r="AT52" s="225">
        <f>AT50+AT51</f>
        <v>0</v>
      </c>
      <c r="AU52" s="891">
        <f>AU50+AU51</f>
        <v>18860239.109999999</v>
      </c>
      <c r="AV52" s="225">
        <f>'старое не смотреть'!D82</f>
        <v>19901501.620000001</v>
      </c>
      <c r="AW52" s="141">
        <f t="shared" si="52"/>
        <v>65258.22</v>
      </c>
      <c r="AX52" s="225">
        <f>AX50+AX51</f>
        <v>0</v>
      </c>
      <c r="AY52" s="141">
        <f t="shared" si="53"/>
        <v>81192.94</v>
      </c>
      <c r="AZ52" s="225">
        <f>AZ50+AZ51</f>
        <v>0</v>
      </c>
      <c r="BA52" s="141">
        <f t="shared" si="54"/>
        <v>77353.2</v>
      </c>
      <c r="BB52" s="225">
        <f>BB50+BB51</f>
        <v>0</v>
      </c>
      <c r="BC52" s="225">
        <f>BC50+BC51</f>
        <v>0</v>
      </c>
      <c r="BD52" s="141">
        <f t="shared" si="55"/>
        <v>77787.27</v>
      </c>
      <c r="BE52" s="225">
        <f>BE50+BE51</f>
        <v>0</v>
      </c>
      <c r="BF52" s="141">
        <f t="shared" si="56"/>
        <v>96908.93</v>
      </c>
      <c r="BG52" s="225">
        <f>BG50+BG51</f>
        <v>0</v>
      </c>
      <c r="BH52" s="225">
        <f>BH50+BH51</f>
        <v>0</v>
      </c>
      <c r="BI52" s="225">
        <f>BI50+BI51</f>
        <v>0</v>
      </c>
      <c r="BJ52" s="141">
        <f t="shared" si="57"/>
        <v>25708.01</v>
      </c>
      <c r="BK52" s="225">
        <f>BK50+BK51</f>
        <v>0</v>
      </c>
      <c r="BL52" s="141">
        <f t="shared" si="58"/>
        <v>27763.9</v>
      </c>
      <c r="BM52" s="225">
        <f>BM50+BM51</f>
        <v>0</v>
      </c>
      <c r="BN52" s="141">
        <f t="shared" si="59"/>
        <v>23851.91</v>
      </c>
      <c r="BO52" s="225">
        <f>BO50+BO51</f>
        <v>0</v>
      </c>
      <c r="BP52" s="225">
        <f>BP50+BP51</f>
        <v>0</v>
      </c>
      <c r="BQ52" s="141">
        <f t="shared" si="60"/>
        <v>29360.82</v>
      </c>
      <c r="BR52" s="225">
        <f t="shared" ref="BR52:BX52" si="71">BR50+BR51</f>
        <v>0</v>
      </c>
      <c r="BS52" s="141">
        <f t="shared" si="61"/>
        <v>36645.26</v>
      </c>
      <c r="BT52" s="225">
        <f t="shared" si="71"/>
        <v>0</v>
      </c>
      <c r="BU52" s="141">
        <f t="shared" si="62"/>
        <v>34889.949999999997</v>
      </c>
      <c r="BV52" s="225">
        <f t="shared" si="71"/>
        <v>0</v>
      </c>
      <c r="BW52" s="225">
        <f t="shared" si="71"/>
        <v>0</v>
      </c>
      <c r="BX52" s="226">
        <f t="shared" si="71"/>
        <v>526</v>
      </c>
      <c r="BY52" s="192"/>
      <c r="BZ52" s="192"/>
    </row>
    <row r="53" spans="1:78" s="116" customFormat="1" ht="38.25">
      <c r="A53" s="185"/>
      <c r="B53" s="220" t="s">
        <v>432</v>
      </c>
      <c r="C53" s="150" t="s">
        <v>388</v>
      </c>
      <c r="D53" s="141">
        <f t="shared" si="34"/>
        <v>31250.82</v>
      </c>
      <c r="E53" s="104">
        <v>70</v>
      </c>
      <c r="F53" s="141">
        <f t="shared" si="35"/>
        <v>38535.26</v>
      </c>
      <c r="G53" s="104">
        <v>78</v>
      </c>
      <c r="H53" s="141">
        <f t="shared" si="36"/>
        <v>36779.949999999997</v>
      </c>
      <c r="I53" s="104">
        <v>22</v>
      </c>
      <c r="J53" s="142">
        <f>ROUND((D53*E53+F53*G53+H53*I53),2)</f>
        <v>6002466.5800000001</v>
      </c>
      <c r="K53" s="141">
        <f t="shared" si="37"/>
        <v>35546.49</v>
      </c>
      <c r="L53" s="104"/>
      <c r="M53" s="141">
        <f t="shared" si="38"/>
        <v>43923.6</v>
      </c>
      <c r="N53" s="104"/>
      <c r="O53" s="141">
        <f t="shared" si="39"/>
        <v>41904.99</v>
      </c>
      <c r="P53" s="104"/>
      <c r="Q53" s="142">
        <f>ROUND((K53*L53+M53*N53+O53*P53),2)</f>
        <v>0</v>
      </c>
      <c r="R53" s="141">
        <f t="shared" si="40"/>
        <v>41274.050000000003</v>
      </c>
      <c r="S53" s="104"/>
      <c r="T53" s="141">
        <f t="shared" si="41"/>
        <v>51108.05</v>
      </c>
      <c r="U53" s="104"/>
      <c r="V53" s="141">
        <f t="shared" si="42"/>
        <v>48738.38</v>
      </c>
      <c r="W53" s="104"/>
      <c r="X53" s="142">
        <f>ROUND((R53*S53+T53*U53+V53*W53),2)</f>
        <v>0</v>
      </c>
      <c r="Y53" s="141">
        <f t="shared" si="43"/>
        <v>45569.73</v>
      </c>
      <c r="Z53" s="104"/>
      <c r="AA53" s="141">
        <f t="shared" si="44"/>
        <v>56496.39</v>
      </c>
      <c r="AB53" s="104"/>
      <c r="AC53" s="142">
        <f>ROUND((Y53*Z53+AA53*AB53),2)</f>
        <v>0</v>
      </c>
      <c r="AD53" s="141">
        <f t="shared" si="45"/>
        <v>54161.08</v>
      </c>
      <c r="AE53" s="114">
        <v>5</v>
      </c>
      <c r="AF53" s="141">
        <f t="shared" si="46"/>
        <v>67273.070000000007</v>
      </c>
      <c r="AG53" s="114">
        <v>12</v>
      </c>
      <c r="AH53" s="141">
        <f t="shared" si="47"/>
        <v>64113.51</v>
      </c>
      <c r="AI53" s="104"/>
      <c r="AJ53" s="142">
        <f>ROUND((AD53*AE53+AF53*AG53+AH53*AI53),2)</f>
        <v>1078082.24</v>
      </c>
      <c r="AK53" s="141">
        <f t="shared" si="48"/>
        <v>29360.82</v>
      </c>
      <c r="AL53" s="104"/>
      <c r="AM53" s="141">
        <f t="shared" si="49"/>
        <v>36645.26</v>
      </c>
      <c r="AN53" s="104"/>
      <c r="AO53" s="141">
        <f t="shared" si="50"/>
        <v>34889.949999999997</v>
      </c>
      <c r="AP53" s="104"/>
      <c r="AQ53" s="142">
        <f>ROUND((AK53*AL53+AM53*AN53+AO53*AP53),2)</f>
        <v>0</v>
      </c>
      <c r="AR53" s="141">
        <f t="shared" si="51"/>
        <v>35718.379999999997</v>
      </c>
      <c r="AS53" s="104"/>
      <c r="AT53" s="142">
        <f>ROUND((AR53*AS53),2)</f>
        <v>0</v>
      </c>
      <c r="AU53" s="143">
        <f>AT53+AQ53+AJ53+AC53+X53+Q53+J53</f>
        <v>7080548.8200000003</v>
      </c>
      <c r="AV53" s="104"/>
      <c r="AW53" s="141">
        <f t="shared" si="52"/>
        <v>65258.22</v>
      </c>
      <c r="AX53" s="104"/>
      <c r="AY53" s="141">
        <f t="shared" si="53"/>
        <v>81192.94</v>
      </c>
      <c r="AZ53" s="104"/>
      <c r="BA53" s="141">
        <f t="shared" si="54"/>
        <v>77353.2</v>
      </c>
      <c r="BB53" s="104"/>
      <c r="BC53" s="142">
        <f>ROUND((AW53*AX53+AY53*AZ53+BA53*BB53),2)</f>
        <v>0</v>
      </c>
      <c r="BD53" s="141">
        <f t="shared" si="55"/>
        <v>77787.27</v>
      </c>
      <c r="BE53" s="104"/>
      <c r="BF53" s="141">
        <f t="shared" si="56"/>
        <v>96908.93</v>
      </c>
      <c r="BG53" s="104"/>
      <c r="BH53" s="142">
        <f>ROUND((BD53*BE53+BF53*BG53),2)</f>
        <v>0</v>
      </c>
      <c r="BI53" s="144">
        <f>BH53+BC53</f>
        <v>0</v>
      </c>
      <c r="BJ53" s="141">
        <f t="shared" si="57"/>
        <v>25708.01</v>
      </c>
      <c r="BK53" s="104"/>
      <c r="BL53" s="141">
        <f t="shared" si="58"/>
        <v>27763.9</v>
      </c>
      <c r="BM53" s="104"/>
      <c r="BN53" s="141">
        <f t="shared" si="59"/>
        <v>23851.91</v>
      </c>
      <c r="BO53" s="104"/>
      <c r="BP53" s="142">
        <f>ROUND((BJ53*BK53+BL53*BM53+BN53*BO53),2)</f>
        <v>0</v>
      </c>
      <c r="BQ53" s="141">
        <f t="shared" si="60"/>
        <v>29360.82</v>
      </c>
      <c r="BR53" s="104"/>
      <c r="BS53" s="141">
        <f t="shared" si="61"/>
        <v>36645.26</v>
      </c>
      <c r="BT53" s="104"/>
      <c r="BU53" s="141">
        <f t="shared" si="62"/>
        <v>34889.949999999997</v>
      </c>
      <c r="BV53" s="104"/>
      <c r="BW53" s="142">
        <f>ROUND((BQ53*BR53+BS53*BT53+BU53*BV53),2)</f>
        <v>0</v>
      </c>
      <c r="BX53" s="222">
        <f>BV53+BT53+BR53+BO53+BM53+BK53+BG53+BE53+BB53+AZ53+AX53+AS53+AP53+AN53+AL53+AI53+AG53+AE53+AB53+Z53+W53+U53+S53+P53+N53+L53+I53+G53+E53</f>
        <v>187</v>
      </c>
      <c r="BY53" s="117"/>
      <c r="BZ53" s="117"/>
    </row>
    <row r="54" spans="1:78" s="116" customFormat="1" ht="45">
      <c r="A54" s="227"/>
      <c r="B54" s="228" t="s">
        <v>433</v>
      </c>
      <c r="C54" s="149" t="s">
        <v>434</v>
      </c>
      <c r="D54" s="141">
        <f t="shared" si="34"/>
        <v>31250.82</v>
      </c>
      <c r="E54" s="114">
        <v>16</v>
      </c>
      <c r="F54" s="141">
        <f t="shared" si="35"/>
        <v>38535.26</v>
      </c>
      <c r="G54" s="114"/>
      <c r="H54" s="141">
        <f t="shared" si="36"/>
        <v>36779.949999999997</v>
      </c>
      <c r="I54" s="114"/>
      <c r="J54" s="142">
        <f>ROUND((D54*E54+F54*G54+H54*I54),2)</f>
        <v>500013.12</v>
      </c>
      <c r="K54" s="141">
        <f t="shared" si="37"/>
        <v>35546.49</v>
      </c>
      <c r="L54" s="111"/>
      <c r="M54" s="141">
        <f t="shared" si="38"/>
        <v>43923.6</v>
      </c>
      <c r="N54" s="111"/>
      <c r="O54" s="141">
        <f t="shared" si="39"/>
        <v>41904.99</v>
      </c>
      <c r="P54" s="111"/>
      <c r="Q54" s="142">
        <f>ROUND((K54*L54+M54*N54+O54*P54),2)</f>
        <v>0</v>
      </c>
      <c r="R54" s="141">
        <f t="shared" si="40"/>
        <v>41274.050000000003</v>
      </c>
      <c r="S54" s="111"/>
      <c r="T54" s="141">
        <f t="shared" si="41"/>
        <v>51108.05</v>
      </c>
      <c r="U54" s="111"/>
      <c r="V54" s="141">
        <f t="shared" si="42"/>
        <v>48738.38</v>
      </c>
      <c r="W54" s="111"/>
      <c r="X54" s="142">
        <f>ROUND((R54*S54+T54*U54+V54*W54),2)</f>
        <v>0</v>
      </c>
      <c r="Y54" s="141">
        <f t="shared" si="43"/>
        <v>45569.73</v>
      </c>
      <c r="Z54" s="111"/>
      <c r="AA54" s="141">
        <f t="shared" si="44"/>
        <v>56496.39</v>
      </c>
      <c r="AB54" s="111"/>
      <c r="AC54" s="142">
        <f>ROUND((Y54*Z54+AA54*AB54),2)</f>
        <v>0</v>
      </c>
      <c r="AD54" s="141">
        <f t="shared" si="45"/>
        <v>54161.08</v>
      </c>
      <c r="AE54" s="114">
        <v>2</v>
      </c>
      <c r="AF54" s="141">
        <f t="shared" si="46"/>
        <v>67273.070000000007</v>
      </c>
      <c r="AG54" s="114"/>
      <c r="AH54" s="141">
        <f t="shared" si="47"/>
        <v>64113.51</v>
      </c>
      <c r="AI54" s="113"/>
      <c r="AJ54" s="142">
        <f>ROUND((AD54*AE54+AF54*AG54+AH54*AI54),2)</f>
        <v>108322.16</v>
      </c>
      <c r="AK54" s="141">
        <f t="shared" si="48"/>
        <v>29360.82</v>
      </c>
      <c r="AL54" s="113"/>
      <c r="AM54" s="141">
        <f t="shared" si="49"/>
        <v>36645.26</v>
      </c>
      <c r="AN54" s="113"/>
      <c r="AO54" s="141">
        <f t="shared" si="50"/>
        <v>34889.949999999997</v>
      </c>
      <c r="AP54" s="113"/>
      <c r="AQ54" s="142">
        <f>ROUND((AK54*AL54+AM54*AN54+AO54*AP54),2)</f>
        <v>0</v>
      </c>
      <c r="AR54" s="141">
        <f t="shared" si="51"/>
        <v>35718.379999999997</v>
      </c>
      <c r="AS54" s="114"/>
      <c r="AT54" s="142">
        <f>ROUND((AR54*AS54),2)</f>
        <v>0</v>
      </c>
      <c r="AU54" s="143">
        <f>AT54+AQ54+AJ54+AC54+X54+Q54+J54</f>
        <v>608335.28</v>
      </c>
      <c r="AV54" s="115"/>
      <c r="AW54" s="141">
        <f t="shared" si="52"/>
        <v>65258.22</v>
      </c>
      <c r="AX54" s="113"/>
      <c r="AY54" s="141">
        <f t="shared" si="53"/>
        <v>81192.94</v>
      </c>
      <c r="AZ54" s="113"/>
      <c r="BA54" s="141">
        <f t="shared" si="54"/>
        <v>77353.2</v>
      </c>
      <c r="BB54" s="113"/>
      <c r="BC54" s="142">
        <f>ROUND((AW54*AX54+AY54*AZ54+BA54*BB54),2)</f>
        <v>0</v>
      </c>
      <c r="BD54" s="141">
        <f t="shared" si="55"/>
        <v>77787.27</v>
      </c>
      <c r="BE54" s="111"/>
      <c r="BF54" s="141">
        <f t="shared" si="56"/>
        <v>96908.93</v>
      </c>
      <c r="BG54" s="111"/>
      <c r="BH54" s="142">
        <f>ROUND((BD54*BE54+BF54*BG54),2)</f>
        <v>0</v>
      </c>
      <c r="BI54" s="144">
        <f>BH54+BC54</f>
        <v>0</v>
      </c>
      <c r="BJ54" s="141">
        <f t="shared" si="57"/>
        <v>25708.01</v>
      </c>
      <c r="BK54" s="111"/>
      <c r="BL54" s="141">
        <f t="shared" si="58"/>
        <v>27763.9</v>
      </c>
      <c r="BM54" s="111"/>
      <c r="BN54" s="141">
        <f t="shared" si="59"/>
        <v>23851.91</v>
      </c>
      <c r="BO54" s="111"/>
      <c r="BP54" s="142">
        <f>ROUND((BJ54*BK54+BL54*BM54+BN54*BO54),2)</f>
        <v>0</v>
      </c>
      <c r="BQ54" s="141">
        <f t="shared" si="60"/>
        <v>29360.82</v>
      </c>
      <c r="BR54" s="111"/>
      <c r="BS54" s="141">
        <f t="shared" si="61"/>
        <v>36645.26</v>
      </c>
      <c r="BT54" s="111"/>
      <c r="BU54" s="141">
        <f t="shared" si="62"/>
        <v>34889.949999999997</v>
      </c>
      <c r="BV54" s="111"/>
      <c r="BW54" s="142">
        <f>ROUND((BQ54*BR54+BS54*BT54+BU54*BV54),2)</f>
        <v>0</v>
      </c>
      <c r="BX54" s="222">
        <f>BV54+BT54+BR54+BO54+BM54+BK54+BG54+BE54+BB54+AZ54+AX54+AS54+AP54+AN54+AL54+AI54+AG54+AE54+AB54+Z54+W54+U54+S54+P54+N54+L54+I54+G54+E54</f>
        <v>18</v>
      </c>
      <c r="BY54" s="117"/>
      <c r="BZ54" s="117"/>
    </row>
    <row r="55" spans="1:78" s="116" customFormat="1" ht="75">
      <c r="A55" s="188"/>
      <c r="B55" s="228" t="s">
        <v>435</v>
      </c>
      <c r="C55" s="149" t="s">
        <v>388</v>
      </c>
      <c r="D55" s="141">
        <f t="shared" si="34"/>
        <v>31250.82</v>
      </c>
      <c r="E55" s="114"/>
      <c r="F55" s="141">
        <f t="shared" si="35"/>
        <v>38535.26</v>
      </c>
      <c r="G55" s="114"/>
      <c r="H55" s="141">
        <f t="shared" si="36"/>
        <v>36779.949999999997</v>
      </c>
      <c r="I55" s="114"/>
      <c r="J55" s="142">
        <f>ROUND((D55*E55+F55*G55+H55*I55),2)</f>
        <v>0</v>
      </c>
      <c r="K55" s="141">
        <f t="shared" si="37"/>
        <v>35546.49</v>
      </c>
      <c r="L55" s="114"/>
      <c r="M55" s="141">
        <f t="shared" si="38"/>
        <v>43923.6</v>
      </c>
      <c r="N55" s="114"/>
      <c r="O55" s="141">
        <f t="shared" si="39"/>
        <v>41904.99</v>
      </c>
      <c r="P55" s="119"/>
      <c r="Q55" s="142">
        <f>ROUND((K55*L55+M55*N55+O55*P55),2)</f>
        <v>0</v>
      </c>
      <c r="R55" s="141">
        <f t="shared" si="40"/>
        <v>41274.050000000003</v>
      </c>
      <c r="S55" s="119"/>
      <c r="T55" s="141">
        <f t="shared" si="41"/>
        <v>51108.05</v>
      </c>
      <c r="U55" s="119"/>
      <c r="V55" s="141">
        <f t="shared" si="42"/>
        <v>48738.38</v>
      </c>
      <c r="W55" s="119"/>
      <c r="X55" s="142">
        <f>ROUND((R55*S55+T55*U55+V55*W55),2)</f>
        <v>0</v>
      </c>
      <c r="Y55" s="141">
        <f t="shared" si="43"/>
        <v>45569.73</v>
      </c>
      <c r="Z55" s="119"/>
      <c r="AA55" s="141">
        <f t="shared" si="44"/>
        <v>56496.39</v>
      </c>
      <c r="AB55" s="119"/>
      <c r="AC55" s="142">
        <f>ROUND((Y55*Z55+AA55*AB55),2)</f>
        <v>0</v>
      </c>
      <c r="AD55" s="141">
        <f t="shared" si="45"/>
        <v>54161.08</v>
      </c>
      <c r="AE55" s="114"/>
      <c r="AF55" s="141">
        <f t="shared" si="46"/>
        <v>67273.070000000007</v>
      </c>
      <c r="AG55" s="114"/>
      <c r="AH55" s="141">
        <f t="shared" si="47"/>
        <v>64113.51</v>
      </c>
      <c r="AI55" s="120"/>
      <c r="AJ55" s="142">
        <f>ROUND((AD55*AE55+AF55*AG55+AH55*AI55),2)</f>
        <v>0</v>
      </c>
      <c r="AK55" s="141">
        <f t="shared" si="48"/>
        <v>29360.82</v>
      </c>
      <c r="AL55" s="120"/>
      <c r="AM55" s="141">
        <f t="shared" si="49"/>
        <v>36645.26</v>
      </c>
      <c r="AN55" s="120"/>
      <c r="AO55" s="141">
        <f t="shared" si="50"/>
        <v>34889.949999999997</v>
      </c>
      <c r="AP55" s="120"/>
      <c r="AQ55" s="142">
        <f>ROUND((AK55*AL55+AM55*AN55+AO55*AP55),2)</f>
        <v>0</v>
      </c>
      <c r="AR55" s="141">
        <f t="shared" si="51"/>
        <v>35718.379999999997</v>
      </c>
      <c r="AS55" s="114">
        <v>42</v>
      </c>
      <c r="AT55" s="142">
        <f>ROUND((AR55*AS55),2)</f>
        <v>1500171.96</v>
      </c>
      <c r="AU55" s="143">
        <f>AT55+AQ55+AJ55+AC55+X55+Q55+J55</f>
        <v>1500171.96</v>
      </c>
      <c r="AV55" s="120"/>
      <c r="AW55" s="141">
        <f t="shared" si="52"/>
        <v>65258.22</v>
      </c>
      <c r="AX55" s="121"/>
      <c r="AY55" s="141">
        <f t="shared" si="53"/>
        <v>81192.94</v>
      </c>
      <c r="AZ55" s="121"/>
      <c r="BA55" s="141">
        <f t="shared" si="54"/>
        <v>77353.2</v>
      </c>
      <c r="BB55" s="119"/>
      <c r="BC55" s="142">
        <f>ROUND((AW55*AX55+AY55*AZ55+BA55*BB55),2)</f>
        <v>0</v>
      </c>
      <c r="BD55" s="141">
        <f t="shared" si="55"/>
        <v>77787.27</v>
      </c>
      <c r="BE55" s="119"/>
      <c r="BF55" s="141">
        <f t="shared" si="56"/>
        <v>96908.93</v>
      </c>
      <c r="BG55" s="119"/>
      <c r="BH55" s="142">
        <f>ROUND((BD55*BE55+BF55*BG55),2)</f>
        <v>0</v>
      </c>
      <c r="BI55" s="144">
        <f>BH55+BC55</f>
        <v>0</v>
      </c>
      <c r="BJ55" s="141">
        <f t="shared" si="57"/>
        <v>25708.01</v>
      </c>
      <c r="BK55" s="119"/>
      <c r="BL55" s="141">
        <f t="shared" si="58"/>
        <v>27763.9</v>
      </c>
      <c r="BM55" s="119"/>
      <c r="BN55" s="141">
        <f t="shared" si="59"/>
        <v>23851.91</v>
      </c>
      <c r="BO55" s="119"/>
      <c r="BP55" s="142">
        <f>ROUND((BJ55*BK55+BL55*BM55+BN55*BO55),2)</f>
        <v>0</v>
      </c>
      <c r="BQ55" s="141">
        <f t="shared" si="60"/>
        <v>29360.82</v>
      </c>
      <c r="BR55" s="119"/>
      <c r="BS55" s="141">
        <f t="shared" si="61"/>
        <v>36645.26</v>
      </c>
      <c r="BT55" s="119"/>
      <c r="BU55" s="141">
        <f t="shared" si="62"/>
        <v>34889.949999999997</v>
      </c>
      <c r="BV55" s="119"/>
      <c r="BW55" s="142">
        <f>ROUND((BQ55*BR55+BS55*BT55+BU55*BV55),2)</f>
        <v>0</v>
      </c>
      <c r="BX55" s="222">
        <f>BV55+BT55+BR55+BO55+BM55+BK55+BG55+BE55+BB55+AZ55+AX55+AS55+AP55+AN55+AL55+AI55+AG55+AE55+AB55+Z55+W55+U55+S55+P55+N55+L55+I55+G55+E55</f>
        <v>42</v>
      </c>
      <c r="BY55" s="117"/>
      <c r="BZ55" s="117"/>
    </row>
    <row r="56" spans="1:78" s="193" customFormat="1" ht="33.75" thickBot="1">
      <c r="A56" s="229">
        <v>3</v>
      </c>
      <c r="B56" s="230" t="s">
        <v>436</v>
      </c>
      <c r="C56" s="191" t="s">
        <v>388</v>
      </c>
      <c r="D56" s="141">
        <f t="shared" si="34"/>
        <v>31250.82</v>
      </c>
      <c r="E56" s="114">
        <f>E53+E54+E55</f>
        <v>86</v>
      </c>
      <c r="F56" s="141">
        <f t="shared" si="35"/>
        <v>38535.26</v>
      </c>
      <c r="G56" s="114">
        <f>G53+G54+G55</f>
        <v>78</v>
      </c>
      <c r="H56" s="141">
        <f t="shared" si="36"/>
        <v>36779.949999999997</v>
      </c>
      <c r="I56" s="114">
        <f>I53+I54+I55</f>
        <v>22</v>
      </c>
      <c r="J56" s="225">
        <f>J53+J54+J55</f>
        <v>6502479.7000000002</v>
      </c>
      <c r="K56" s="141">
        <f t="shared" si="37"/>
        <v>35546.49</v>
      </c>
      <c r="L56" s="225">
        <f>L53+L54+L55</f>
        <v>0</v>
      </c>
      <c r="M56" s="141">
        <f t="shared" si="38"/>
        <v>43923.6</v>
      </c>
      <c r="N56" s="225">
        <f>N53+N54+N55</f>
        <v>0</v>
      </c>
      <c r="O56" s="141">
        <f t="shared" si="39"/>
        <v>41904.99</v>
      </c>
      <c r="P56" s="225">
        <f>P53+P54+P55</f>
        <v>0</v>
      </c>
      <c r="Q56" s="225">
        <f>Q53+Q54+Q55</f>
        <v>0</v>
      </c>
      <c r="R56" s="141">
        <f t="shared" si="40"/>
        <v>41274.050000000003</v>
      </c>
      <c r="S56" s="225">
        <f>S53+S54+S55</f>
        <v>0</v>
      </c>
      <c r="T56" s="141">
        <f t="shared" si="41"/>
        <v>51108.05</v>
      </c>
      <c r="U56" s="225">
        <f>U53+U54+U55</f>
        <v>0</v>
      </c>
      <c r="V56" s="141">
        <f t="shared" si="42"/>
        <v>48738.38</v>
      </c>
      <c r="W56" s="225">
        <f>W53+W54+W55</f>
        <v>0</v>
      </c>
      <c r="X56" s="225">
        <f>X53+X54+X55</f>
        <v>0</v>
      </c>
      <c r="Y56" s="141">
        <f t="shared" si="43"/>
        <v>45569.73</v>
      </c>
      <c r="Z56" s="225">
        <f>Z53+Z54+Z55</f>
        <v>0</v>
      </c>
      <c r="AA56" s="141">
        <f t="shared" si="44"/>
        <v>56496.39</v>
      </c>
      <c r="AB56" s="225">
        <f>AB53+AB54+AB55</f>
        <v>0</v>
      </c>
      <c r="AC56" s="225">
        <f>AC53+AC54+AC55</f>
        <v>0</v>
      </c>
      <c r="AD56" s="141">
        <f t="shared" si="45"/>
        <v>54161.08</v>
      </c>
      <c r="AE56" s="210">
        <f>AE53+AE54+AE55</f>
        <v>7</v>
      </c>
      <c r="AF56" s="141">
        <f t="shared" si="46"/>
        <v>67273.070000000007</v>
      </c>
      <c r="AG56" s="210">
        <f>AG53+AG54+AG55</f>
        <v>12</v>
      </c>
      <c r="AH56" s="141">
        <f t="shared" si="47"/>
        <v>64113.51</v>
      </c>
      <c r="AI56" s="225">
        <f>AI53+AI54+AI55</f>
        <v>0</v>
      </c>
      <c r="AJ56" s="225">
        <f>AJ53+AJ54+AJ55</f>
        <v>1186404.3999999999</v>
      </c>
      <c r="AK56" s="141">
        <f t="shared" si="48"/>
        <v>29360.82</v>
      </c>
      <c r="AL56" s="225">
        <f>AL53+AL54+AL55</f>
        <v>0</v>
      </c>
      <c r="AM56" s="141">
        <f t="shared" si="49"/>
        <v>36645.26</v>
      </c>
      <c r="AN56" s="225">
        <f>AN53+AN54+AN55</f>
        <v>0</v>
      </c>
      <c r="AO56" s="141">
        <f t="shared" si="50"/>
        <v>34889.949999999997</v>
      </c>
      <c r="AP56" s="225">
        <f>AP53+AP54+AP55</f>
        <v>0</v>
      </c>
      <c r="AQ56" s="225">
        <f>AQ53+AQ54+AQ55</f>
        <v>0</v>
      </c>
      <c r="AR56" s="141">
        <f t="shared" si="51"/>
        <v>35718.379999999997</v>
      </c>
      <c r="AS56" s="225">
        <f>AS53+AS54+AS55</f>
        <v>42</v>
      </c>
      <c r="AT56" s="225">
        <f>AT53+AT54+AT55</f>
        <v>1500171.96</v>
      </c>
      <c r="AU56" s="891">
        <f>AU53+AU54+AU55</f>
        <v>9189056.0600000005</v>
      </c>
      <c r="AV56" s="225">
        <f>'старое не смотреть'!D83</f>
        <v>14279481.74</v>
      </c>
      <c r="AW56" s="141">
        <f t="shared" si="52"/>
        <v>65258.22</v>
      </c>
      <c r="AX56" s="225">
        <f>AX53+AX54+AX55</f>
        <v>0</v>
      </c>
      <c r="AY56" s="141">
        <f t="shared" si="53"/>
        <v>81192.94</v>
      </c>
      <c r="AZ56" s="225">
        <f>AZ53+AZ54+AZ55</f>
        <v>0</v>
      </c>
      <c r="BA56" s="141">
        <f t="shared" si="54"/>
        <v>77353.2</v>
      </c>
      <c r="BB56" s="225">
        <f>BB53+BB54+BB55</f>
        <v>0</v>
      </c>
      <c r="BC56" s="225">
        <f>BC53+BC54+BC55</f>
        <v>0</v>
      </c>
      <c r="BD56" s="141">
        <f t="shared" si="55"/>
        <v>77787.27</v>
      </c>
      <c r="BE56" s="225">
        <f>BE53+BE54+BE55</f>
        <v>0</v>
      </c>
      <c r="BF56" s="141">
        <f t="shared" si="56"/>
        <v>96908.93</v>
      </c>
      <c r="BG56" s="225">
        <f>BG53+BG54+BG55</f>
        <v>0</v>
      </c>
      <c r="BH56" s="225">
        <f>BH53+BH54+BH55</f>
        <v>0</v>
      </c>
      <c r="BI56" s="225">
        <f>BI53+BI54+BI55</f>
        <v>0</v>
      </c>
      <c r="BJ56" s="141">
        <f t="shared" si="57"/>
        <v>25708.01</v>
      </c>
      <c r="BK56" s="225">
        <f>BK53+BK54+BK55</f>
        <v>0</v>
      </c>
      <c r="BL56" s="141">
        <f t="shared" si="58"/>
        <v>27763.9</v>
      </c>
      <c r="BM56" s="225">
        <f>BM53+BM54+BM55</f>
        <v>0</v>
      </c>
      <c r="BN56" s="141">
        <f t="shared" si="59"/>
        <v>23851.91</v>
      </c>
      <c r="BO56" s="225">
        <f>BO53+BO54+BO55</f>
        <v>0</v>
      </c>
      <c r="BP56" s="225">
        <f>BP53+BP54+BP55</f>
        <v>0</v>
      </c>
      <c r="BQ56" s="141">
        <f t="shared" si="60"/>
        <v>29360.82</v>
      </c>
      <c r="BR56" s="225">
        <f t="shared" ref="BR56:BW56" si="72">BR53+BR54+BR55</f>
        <v>0</v>
      </c>
      <c r="BS56" s="141">
        <f t="shared" si="61"/>
        <v>36645.26</v>
      </c>
      <c r="BT56" s="225">
        <f t="shared" si="72"/>
        <v>0</v>
      </c>
      <c r="BU56" s="141">
        <f t="shared" si="62"/>
        <v>34889.949999999997</v>
      </c>
      <c r="BV56" s="225">
        <f t="shared" si="72"/>
        <v>0</v>
      </c>
      <c r="BW56" s="225">
        <f t="shared" si="72"/>
        <v>0</v>
      </c>
      <c r="BX56" s="231">
        <f>BX53+BX54+BX55</f>
        <v>247</v>
      </c>
      <c r="BY56" s="192"/>
      <c r="BZ56" s="192"/>
    </row>
    <row r="57" spans="1:78" s="168" customFormat="1" ht="17.25" thickBot="1">
      <c r="A57" s="194"/>
      <c r="B57" s="195" t="s">
        <v>401</v>
      </c>
      <c r="C57" s="195"/>
      <c r="D57" s="141">
        <f t="shared" si="34"/>
        <v>31250.82</v>
      </c>
      <c r="E57" s="210">
        <f>E49+E52+E56</f>
        <v>514</v>
      </c>
      <c r="F57" s="141">
        <f t="shared" si="35"/>
        <v>38535.26</v>
      </c>
      <c r="G57" s="210">
        <f>G49+G52+G56</f>
        <v>523</v>
      </c>
      <c r="H57" s="141">
        <f t="shared" si="36"/>
        <v>36779.949999999997</v>
      </c>
      <c r="I57" s="210">
        <f>I49+I52+I56</f>
        <v>150</v>
      </c>
      <c r="J57" s="210">
        <f t="shared" ref="J57:BO57" si="73">J49+J52+J56</f>
        <v>41733854.960000001</v>
      </c>
      <c r="K57" s="141">
        <f t="shared" si="37"/>
        <v>35546.49</v>
      </c>
      <c r="L57" s="210">
        <f t="shared" si="73"/>
        <v>0</v>
      </c>
      <c r="M57" s="141">
        <f t="shared" si="38"/>
        <v>43923.6</v>
      </c>
      <c r="N57" s="210">
        <f t="shared" si="73"/>
        <v>0</v>
      </c>
      <c r="O57" s="141">
        <f t="shared" si="39"/>
        <v>41904.99</v>
      </c>
      <c r="P57" s="210">
        <f t="shared" si="73"/>
        <v>0</v>
      </c>
      <c r="Q57" s="210">
        <f>Q49+Q52+Q56</f>
        <v>0</v>
      </c>
      <c r="R57" s="141">
        <f t="shared" si="40"/>
        <v>41274.050000000003</v>
      </c>
      <c r="S57" s="210">
        <f t="shared" si="73"/>
        <v>0</v>
      </c>
      <c r="T57" s="141">
        <f t="shared" si="41"/>
        <v>51108.05</v>
      </c>
      <c r="U57" s="210">
        <f t="shared" si="73"/>
        <v>0</v>
      </c>
      <c r="V57" s="141">
        <f t="shared" si="42"/>
        <v>48738.38</v>
      </c>
      <c r="W57" s="210">
        <f t="shared" si="73"/>
        <v>0</v>
      </c>
      <c r="X57" s="210">
        <f>X49+X52+X56</f>
        <v>0</v>
      </c>
      <c r="Y57" s="141">
        <f t="shared" si="43"/>
        <v>45569.73</v>
      </c>
      <c r="Z57" s="210">
        <f t="shared" si="73"/>
        <v>0</v>
      </c>
      <c r="AA57" s="141">
        <f t="shared" si="44"/>
        <v>56496.39</v>
      </c>
      <c r="AB57" s="210">
        <f t="shared" si="73"/>
        <v>0</v>
      </c>
      <c r="AC57" s="210">
        <f t="shared" si="73"/>
        <v>0</v>
      </c>
      <c r="AD57" s="141">
        <f t="shared" si="45"/>
        <v>54161.08</v>
      </c>
      <c r="AE57" s="210">
        <f t="shared" si="73"/>
        <v>23</v>
      </c>
      <c r="AF57" s="141">
        <f t="shared" si="46"/>
        <v>67273.070000000007</v>
      </c>
      <c r="AG57" s="210">
        <f t="shared" si="73"/>
        <v>39</v>
      </c>
      <c r="AH57" s="141">
        <f t="shared" si="47"/>
        <v>64113.51</v>
      </c>
      <c r="AI57" s="210">
        <f t="shared" si="73"/>
        <v>0</v>
      </c>
      <c r="AJ57" s="210">
        <f>AJ49+AJ52+AJ56</f>
        <v>3869354.57</v>
      </c>
      <c r="AK57" s="141">
        <f t="shared" si="48"/>
        <v>29360.82</v>
      </c>
      <c r="AL57" s="210">
        <f t="shared" si="73"/>
        <v>0</v>
      </c>
      <c r="AM57" s="141">
        <f t="shared" si="49"/>
        <v>36645.26</v>
      </c>
      <c r="AN57" s="210">
        <f t="shared" si="73"/>
        <v>0</v>
      </c>
      <c r="AO57" s="141">
        <f t="shared" si="50"/>
        <v>34889.949999999997</v>
      </c>
      <c r="AP57" s="210">
        <f t="shared" si="73"/>
        <v>0</v>
      </c>
      <c r="AQ57" s="210">
        <f>AQ49+AQ52+AQ56</f>
        <v>0</v>
      </c>
      <c r="AR57" s="141">
        <f t="shared" si="51"/>
        <v>35718.379999999997</v>
      </c>
      <c r="AS57" s="210">
        <f t="shared" si="73"/>
        <v>42</v>
      </c>
      <c r="AT57" s="210">
        <f t="shared" si="73"/>
        <v>1500171.96</v>
      </c>
      <c r="AU57" s="857">
        <f t="shared" si="73"/>
        <v>47103381.490000002</v>
      </c>
      <c r="AV57" s="210">
        <f>AV56+AV52+AV49</f>
        <v>53235069.68</v>
      </c>
      <c r="AW57" s="141">
        <f t="shared" si="52"/>
        <v>65258.22</v>
      </c>
      <c r="AX57" s="210">
        <f t="shared" si="73"/>
        <v>0</v>
      </c>
      <c r="AY57" s="141">
        <f t="shared" si="53"/>
        <v>81192.94</v>
      </c>
      <c r="AZ57" s="210">
        <f t="shared" si="73"/>
        <v>0</v>
      </c>
      <c r="BA57" s="141">
        <f t="shared" si="54"/>
        <v>77353.2</v>
      </c>
      <c r="BB57" s="210">
        <f t="shared" si="73"/>
        <v>0</v>
      </c>
      <c r="BC57" s="210">
        <f>BC49+BC52+BC56</f>
        <v>0</v>
      </c>
      <c r="BD57" s="141">
        <f t="shared" si="55"/>
        <v>77787.27</v>
      </c>
      <c r="BE57" s="210">
        <f t="shared" si="73"/>
        <v>0</v>
      </c>
      <c r="BF57" s="141">
        <f t="shared" si="56"/>
        <v>96908.93</v>
      </c>
      <c r="BG57" s="210">
        <f t="shared" si="73"/>
        <v>0</v>
      </c>
      <c r="BH57" s="210">
        <f t="shared" si="73"/>
        <v>0</v>
      </c>
      <c r="BI57" s="210">
        <f t="shared" si="73"/>
        <v>0</v>
      </c>
      <c r="BJ57" s="141">
        <f t="shared" si="57"/>
        <v>25708.01</v>
      </c>
      <c r="BK57" s="210">
        <f t="shared" si="73"/>
        <v>0</v>
      </c>
      <c r="BL57" s="141">
        <f t="shared" si="58"/>
        <v>27763.9</v>
      </c>
      <c r="BM57" s="210">
        <f t="shared" si="73"/>
        <v>0</v>
      </c>
      <c r="BN57" s="141">
        <f t="shared" si="59"/>
        <v>23851.91</v>
      </c>
      <c r="BO57" s="210">
        <f t="shared" si="73"/>
        <v>0</v>
      </c>
      <c r="BP57" s="210">
        <f>BP49+BP52+BP56</f>
        <v>0</v>
      </c>
      <c r="BQ57" s="141">
        <f t="shared" si="60"/>
        <v>29360.82</v>
      </c>
      <c r="BR57" s="210">
        <f t="shared" ref="BR57:BX57" si="74">BR49+BR52+BR56</f>
        <v>0</v>
      </c>
      <c r="BS57" s="141">
        <f t="shared" si="61"/>
        <v>36645.26</v>
      </c>
      <c r="BT57" s="210">
        <f t="shared" si="74"/>
        <v>0</v>
      </c>
      <c r="BU57" s="141">
        <f t="shared" si="62"/>
        <v>34889.949999999997</v>
      </c>
      <c r="BV57" s="210">
        <f t="shared" si="74"/>
        <v>0</v>
      </c>
      <c r="BW57" s="210">
        <f t="shared" si="74"/>
        <v>0</v>
      </c>
      <c r="BX57" s="211">
        <f t="shared" si="74"/>
        <v>1291</v>
      </c>
      <c r="BY57" s="167"/>
      <c r="BZ57" s="167"/>
    </row>
    <row r="58" spans="1:78" ht="18.75">
      <c r="A58" s="1642" t="s">
        <v>94</v>
      </c>
      <c r="B58" s="1643"/>
      <c r="C58" s="1644"/>
      <c r="D58" s="709">
        <f t="shared" si="34"/>
        <v>31250.82</v>
      </c>
      <c r="F58" s="709">
        <f t="shared" si="35"/>
        <v>38535.26</v>
      </c>
      <c r="H58" s="709">
        <f t="shared" si="36"/>
        <v>36779.949999999997</v>
      </c>
      <c r="K58" s="709">
        <f t="shared" si="37"/>
        <v>35546.49</v>
      </c>
      <c r="M58" s="709">
        <f t="shared" si="38"/>
        <v>43923.6</v>
      </c>
      <c r="O58" s="709">
        <f t="shared" si="39"/>
        <v>41904.99</v>
      </c>
      <c r="R58" s="709">
        <f t="shared" si="40"/>
        <v>41274.050000000003</v>
      </c>
      <c r="T58" s="709">
        <f t="shared" si="41"/>
        <v>51108.05</v>
      </c>
      <c r="V58" s="709">
        <f t="shared" si="42"/>
        <v>48738.38</v>
      </c>
      <c r="Y58" s="709">
        <f t="shared" si="43"/>
        <v>45569.73</v>
      </c>
      <c r="AA58" s="709">
        <f t="shared" si="44"/>
        <v>56496.39</v>
      </c>
      <c r="AD58" s="709">
        <f t="shared" si="45"/>
        <v>54161.08</v>
      </c>
      <c r="AF58" s="709">
        <f t="shared" si="46"/>
        <v>67273.070000000007</v>
      </c>
      <c r="AH58" s="709">
        <f t="shared" si="47"/>
        <v>64113.51</v>
      </c>
      <c r="AK58" s="709">
        <f t="shared" si="48"/>
        <v>29360.82</v>
      </c>
      <c r="AM58" s="709">
        <f t="shared" si="49"/>
        <v>36645.26</v>
      </c>
      <c r="AO58" s="709">
        <f t="shared" si="50"/>
        <v>34889.949999999997</v>
      </c>
      <c r="AR58" s="709">
        <f t="shared" si="51"/>
        <v>35718.379999999997</v>
      </c>
      <c r="AV58" s="710">
        <f>ROUND(AV63/AU63,3)</f>
        <v>1.627</v>
      </c>
      <c r="AW58" s="709">
        <f t="shared" si="52"/>
        <v>65258.22</v>
      </c>
      <c r="AY58" s="709">
        <f t="shared" si="53"/>
        <v>81192.94</v>
      </c>
      <c r="BA58" s="709">
        <f t="shared" si="54"/>
        <v>77353.2</v>
      </c>
      <c r="BD58" s="709">
        <f t="shared" si="55"/>
        <v>77787.27</v>
      </c>
      <c r="BF58" s="709">
        <f t="shared" si="56"/>
        <v>96908.93</v>
      </c>
      <c r="BJ58" s="709">
        <f t="shared" si="57"/>
        <v>25708.01</v>
      </c>
      <c r="BL58" s="709">
        <f t="shared" si="58"/>
        <v>27763.9</v>
      </c>
      <c r="BN58" s="709">
        <f t="shared" si="59"/>
        <v>23851.91</v>
      </c>
      <c r="BQ58" s="709">
        <f t="shared" si="60"/>
        <v>29360.82</v>
      </c>
      <c r="BS58" s="709">
        <f t="shared" si="61"/>
        <v>36645.26</v>
      </c>
      <c r="BU58" s="709">
        <f t="shared" si="62"/>
        <v>34889.949999999997</v>
      </c>
      <c r="BY58" s="178"/>
      <c r="BZ58" s="178"/>
    </row>
    <row r="59" spans="1:78" s="106" customFormat="1" ht="33">
      <c r="A59" s="95" t="s">
        <v>387</v>
      </c>
      <c r="B59" s="172" t="s">
        <v>437</v>
      </c>
      <c r="C59" s="147" t="s">
        <v>390</v>
      </c>
      <c r="D59" s="709">
        <f t="shared" si="34"/>
        <v>31250.82</v>
      </c>
      <c r="E59" s="114">
        <v>215</v>
      </c>
      <c r="F59" s="709">
        <f t="shared" si="35"/>
        <v>38535.26</v>
      </c>
      <c r="G59" s="114">
        <v>260</v>
      </c>
      <c r="H59" s="709">
        <f t="shared" si="36"/>
        <v>36779.949999999997</v>
      </c>
      <c r="I59" s="114">
        <v>45</v>
      </c>
      <c r="J59" s="711">
        <f>ROUND((D59*E59+F59*G59+H59*I59),2)</f>
        <v>18393191.649999999</v>
      </c>
      <c r="K59" s="709">
        <f t="shared" si="37"/>
        <v>35546.49</v>
      </c>
      <c r="L59" s="101"/>
      <c r="M59" s="709">
        <f t="shared" si="38"/>
        <v>43923.6</v>
      </c>
      <c r="N59" s="101"/>
      <c r="O59" s="709">
        <f t="shared" si="39"/>
        <v>41904.99</v>
      </c>
      <c r="P59" s="101"/>
      <c r="Q59" s="711">
        <f>ROUND((K59*L59+M59*N59+O59*P59),2)</f>
        <v>0</v>
      </c>
      <c r="R59" s="709">
        <f t="shared" si="40"/>
        <v>41274.050000000003</v>
      </c>
      <c r="S59" s="100"/>
      <c r="T59" s="709">
        <f t="shared" si="41"/>
        <v>51108.05</v>
      </c>
      <c r="U59" s="100"/>
      <c r="V59" s="709">
        <f t="shared" si="42"/>
        <v>48738.38</v>
      </c>
      <c r="W59" s="103"/>
      <c r="X59" s="711">
        <f>ROUND((R59*S59+T59*U59+V59*W59),2)</f>
        <v>0</v>
      </c>
      <c r="Y59" s="709">
        <f t="shared" si="43"/>
        <v>45569.73</v>
      </c>
      <c r="Z59" s="100"/>
      <c r="AA59" s="709">
        <f t="shared" si="44"/>
        <v>56496.39</v>
      </c>
      <c r="AB59" s="100"/>
      <c r="AC59" s="711">
        <f>ROUND((Y59*Z59+AA59*AB59),2)</f>
        <v>0</v>
      </c>
      <c r="AD59" s="709">
        <f t="shared" si="45"/>
        <v>54161.08</v>
      </c>
      <c r="AE59" s="114"/>
      <c r="AF59" s="709">
        <f t="shared" si="46"/>
        <v>67273.070000000007</v>
      </c>
      <c r="AG59" s="114"/>
      <c r="AH59" s="709">
        <f t="shared" si="47"/>
        <v>64113.51</v>
      </c>
      <c r="AI59" s="101"/>
      <c r="AJ59" s="711">
        <f>ROUND((AD59*AE59+AF59*AG59+AH59*AI59),2)</f>
        <v>0</v>
      </c>
      <c r="AK59" s="709">
        <f t="shared" si="48"/>
        <v>29360.82</v>
      </c>
      <c r="AL59" s="101"/>
      <c r="AM59" s="709">
        <f t="shared" si="49"/>
        <v>36645.26</v>
      </c>
      <c r="AN59" s="101"/>
      <c r="AO59" s="709">
        <f t="shared" si="50"/>
        <v>34889.949999999997</v>
      </c>
      <c r="AP59" s="101"/>
      <c r="AQ59" s="711">
        <f>ROUND((AK59*AL59+AM59*AN59+AO59*AP59),2)</f>
        <v>0</v>
      </c>
      <c r="AR59" s="709">
        <f t="shared" si="51"/>
        <v>35718.379999999997</v>
      </c>
      <c r="AS59" s="104"/>
      <c r="AT59" s="711">
        <f>ROUND((AR59*AS59),2)</f>
        <v>0</v>
      </c>
      <c r="AU59" s="712">
        <f>AT59+AQ59+AJ59+AC59+X59+Q59+J59</f>
        <v>18393191.649999999</v>
      </c>
      <c r="AV59" s="105"/>
      <c r="AW59" s="709">
        <f t="shared" si="52"/>
        <v>65258.22</v>
      </c>
      <c r="AX59" s="102"/>
      <c r="AY59" s="709">
        <f t="shared" si="53"/>
        <v>81192.94</v>
      </c>
      <c r="AZ59" s="102"/>
      <c r="BA59" s="709">
        <f t="shared" si="54"/>
        <v>77353.2</v>
      </c>
      <c r="BB59" s="102"/>
      <c r="BC59" s="711">
        <f>ROUND((AW59*AX59+AY59*AZ59+BA59*BB59),2)</f>
        <v>0</v>
      </c>
      <c r="BD59" s="709">
        <f t="shared" si="55"/>
        <v>77787.27</v>
      </c>
      <c r="BE59" s="100"/>
      <c r="BF59" s="709">
        <f t="shared" si="56"/>
        <v>96908.93</v>
      </c>
      <c r="BG59" s="100"/>
      <c r="BH59" s="711">
        <f>ROUND((BD59*BE59+BF59*BG59),2)</f>
        <v>0</v>
      </c>
      <c r="BI59" s="713">
        <f>BH59+BC59</f>
        <v>0</v>
      </c>
      <c r="BJ59" s="709">
        <f t="shared" si="57"/>
        <v>25708.01</v>
      </c>
      <c r="BK59" s="100"/>
      <c r="BL59" s="709">
        <f t="shared" si="58"/>
        <v>27763.9</v>
      </c>
      <c r="BM59" s="100"/>
      <c r="BN59" s="709">
        <f t="shared" si="59"/>
        <v>23851.91</v>
      </c>
      <c r="BO59" s="100"/>
      <c r="BP59" s="711">
        <f>ROUND((BJ59*BK59+BL59*BM59+BN59*BO59),2)</f>
        <v>0</v>
      </c>
      <c r="BQ59" s="709">
        <f t="shared" si="60"/>
        <v>29360.82</v>
      </c>
      <c r="BR59" s="103"/>
      <c r="BS59" s="709">
        <f t="shared" si="61"/>
        <v>36645.26</v>
      </c>
      <c r="BT59" s="103"/>
      <c r="BU59" s="709">
        <f t="shared" si="62"/>
        <v>34889.949999999997</v>
      </c>
      <c r="BV59" s="103"/>
      <c r="BW59" s="711">
        <f>ROUND((BQ59*BR59+BS59*BT59+BU59*BV59),2)</f>
        <v>0</v>
      </c>
      <c r="BX59" s="145">
        <f>BV59+BT59+BR59+BO59+BM59+BK59+BG59+BE59+BB59+AZ59+AX59+AS59+AP59+AN59+AL59+AI59+AG59+AE59+AB59+Z59+W59+U59+S59+P59+N59+L59+I59+G59+E59</f>
        <v>520</v>
      </c>
      <c r="BY59" s="107"/>
      <c r="BZ59" s="107"/>
    </row>
    <row r="60" spans="1:78" s="116" customFormat="1" ht="16.5">
      <c r="A60" s="108"/>
      <c r="B60" s="124" t="s">
        <v>438</v>
      </c>
      <c r="C60" s="232" t="s">
        <v>439</v>
      </c>
      <c r="D60" s="709">
        <f t="shared" si="34"/>
        <v>31250.82</v>
      </c>
      <c r="E60" s="114">
        <v>10</v>
      </c>
      <c r="F60" s="709">
        <f t="shared" si="35"/>
        <v>38535.26</v>
      </c>
      <c r="G60" s="114">
        <v>0</v>
      </c>
      <c r="H60" s="709">
        <f t="shared" si="36"/>
        <v>36779.949999999997</v>
      </c>
      <c r="I60" s="114">
        <v>0</v>
      </c>
      <c r="J60" s="711">
        <f>ROUND((D60*E60+F60*G60+H60*I60),2)</f>
        <v>312508.2</v>
      </c>
      <c r="K60" s="709">
        <f t="shared" si="37"/>
        <v>35546.49</v>
      </c>
      <c r="L60" s="111"/>
      <c r="M60" s="709">
        <f t="shared" si="38"/>
        <v>43923.6</v>
      </c>
      <c r="N60" s="111"/>
      <c r="O60" s="709">
        <f t="shared" si="39"/>
        <v>41904.99</v>
      </c>
      <c r="P60" s="111"/>
      <c r="Q60" s="711">
        <f>ROUND((K60*L60+M60*N60+O60*P60),2)</f>
        <v>0</v>
      </c>
      <c r="R60" s="709">
        <f t="shared" si="40"/>
        <v>41274.050000000003</v>
      </c>
      <c r="S60" s="111"/>
      <c r="T60" s="709">
        <f t="shared" si="41"/>
        <v>51108.05</v>
      </c>
      <c r="U60" s="111"/>
      <c r="V60" s="709">
        <f t="shared" si="42"/>
        <v>48738.38</v>
      </c>
      <c r="W60" s="111"/>
      <c r="X60" s="711">
        <f>ROUND((R60*S60+T60*U60+V60*W60),2)</f>
        <v>0</v>
      </c>
      <c r="Y60" s="709">
        <f t="shared" si="43"/>
        <v>45569.73</v>
      </c>
      <c r="Z60" s="111"/>
      <c r="AA60" s="709">
        <f t="shared" si="44"/>
        <v>56496.39</v>
      </c>
      <c r="AB60" s="111"/>
      <c r="AC60" s="711">
        <f>ROUND((Y60*Z60+AA60*AB60),2)</f>
        <v>0</v>
      </c>
      <c r="AD60" s="709">
        <f t="shared" si="45"/>
        <v>54161.08</v>
      </c>
      <c r="AE60" s="114"/>
      <c r="AF60" s="709">
        <f t="shared" si="46"/>
        <v>67273.070000000007</v>
      </c>
      <c r="AG60" s="114"/>
      <c r="AH60" s="709">
        <f t="shared" si="47"/>
        <v>64113.51</v>
      </c>
      <c r="AI60" s="113"/>
      <c r="AJ60" s="711">
        <f>ROUND((AD60*AE60+AF60*AG60+AH60*AI60),2)</f>
        <v>0</v>
      </c>
      <c r="AK60" s="709">
        <f t="shared" si="48"/>
        <v>29360.82</v>
      </c>
      <c r="AL60" s="113"/>
      <c r="AM60" s="709">
        <f t="shared" si="49"/>
        <v>36645.26</v>
      </c>
      <c r="AN60" s="113"/>
      <c r="AO60" s="709">
        <f t="shared" si="50"/>
        <v>34889.949999999997</v>
      </c>
      <c r="AP60" s="113"/>
      <c r="AQ60" s="711">
        <f>ROUND((AK60*AL60+AM60*AN60+AO60*AP60),2)</f>
        <v>0</v>
      </c>
      <c r="AR60" s="709">
        <f t="shared" si="51"/>
        <v>35718.379999999997</v>
      </c>
      <c r="AS60" s="114"/>
      <c r="AT60" s="711">
        <f>ROUND((AR60*AS60),2)</f>
        <v>0</v>
      </c>
      <c r="AU60" s="712">
        <f>AT60+AQ60+AJ60+AC60+X60+Q60+J60</f>
        <v>312508.2</v>
      </c>
      <c r="AV60" s="115"/>
      <c r="AW60" s="709">
        <f t="shared" si="52"/>
        <v>65258.22</v>
      </c>
      <c r="AX60" s="113"/>
      <c r="AY60" s="709">
        <f t="shared" si="53"/>
        <v>81192.94</v>
      </c>
      <c r="AZ60" s="113"/>
      <c r="BA60" s="709">
        <f t="shared" si="54"/>
        <v>77353.2</v>
      </c>
      <c r="BB60" s="113"/>
      <c r="BC60" s="711">
        <f>ROUND((AW60*AX60+AY60*AZ60+BA60*BB60),2)</f>
        <v>0</v>
      </c>
      <c r="BD60" s="709">
        <f t="shared" si="55"/>
        <v>77787.27</v>
      </c>
      <c r="BE60" s="111"/>
      <c r="BF60" s="709">
        <f t="shared" si="56"/>
        <v>96908.93</v>
      </c>
      <c r="BG60" s="111"/>
      <c r="BH60" s="711">
        <f>ROUND((BD60*BE60+BF60*BG60),2)</f>
        <v>0</v>
      </c>
      <c r="BI60" s="713">
        <f>BH60+BC60</f>
        <v>0</v>
      </c>
      <c r="BJ60" s="709">
        <f t="shared" si="57"/>
        <v>25708.01</v>
      </c>
      <c r="BK60" s="111"/>
      <c r="BL60" s="709">
        <f t="shared" si="58"/>
        <v>27763.9</v>
      </c>
      <c r="BM60" s="111"/>
      <c r="BN60" s="709">
        <f t="shared" si="59"/>
        <v>23851.91</v>
      </c>
      <c r="BO60" s="111"/>
      <c r="BP60" s="711">
        <f>ROUND((BJ60*BK60+BL60*BM60+BN60*BO60),2)</f>
        <v>0</v>
      </c>
      <c r="BQ60" s="709">
        <f t="shared" si="60"/>
        <v>29360.82</v>
      </c>
      <c r="BR60" s="111"/>
      <c r="BS60" s="709">
        <f t="shared" si="61"/>
        <v>36645.26</v>
      </c>
      <c r="BT60" s="111"/>
      <c r="BU60" s="709">
        <f t="shared" si="62"/>
        <v>34889.949999999997</v>
      </c>
      <c r="BV60" s="111"/>
      <c r="BW60" s="711">
        <f>ROUND((BQ60*BR60+BS60*BT60+BU60*BV60),2)</f>
        <v>0</v>
      </c>
      <c r="BX60" s="145">
        <f>BV60+BT60+BR60+BO60+BM60+BK60+BG60+BE60+BB60+AZ60+AX60+AS60+AP60+AN60+AL60+AI60+AG60+AE60+AB60+Z60+W60+U60+S60+P60+N60+L60+I60+G60+E60</f>
        <v>10</v>
      </c>
      <c r="BY60" s="117"/>
      <c r="BZ60" s="117"/>
    </row>
    <row r="61" spans="1:78" s="116" customFormat="1" ht="16.5">
      <c r="A61" s="118"/>
      <c r="B61" s="148" t="s">
        <v>440</v>
      </c>
      <c r="C61" s="149" t="s">
        <v>441</v>
      </c>
      <c r="D61" s="709">
        <f t="shared" si="34"/>
        <v>31250.82</v>
      </c>
      <c r="E61" s="114">
        <v>18</v>
      </c>
      <c r="F61" s="709">
        <f t="shared" si="35"/>
        <v>38535.26</v>
      </c>
      <c r="G61" s="114">
        <v>3</v>
      </c>
      <c r="H61" s="709">
        <f t="shared" si="36"/>
        <v>36779.949999999997</v>
      </c>
      <c r="I61" s="114"/>
      <c r="J61" s="711">
        <f>ROUND((D61*E61+F61*G61+H61*I61),2)</f>
        <v>678120.54</v>
      </c>
      <c r="K61" s="709">
        <f t="shared" si="37"/>
        <v>35546.49</v>
      </c>
      <c r="L61" s="111"/>
      <c r="M61" s="709">
        <f t="shared" si="38"/>
        <v>43923.6</v>
      </c>
      <c r="N61" s="111"/>
      <c r="O61" s="709">
        <f t="shared" si="39"/>
        <v>41904.99</v>
      </c>
      <c r="P61" s="111"/>
      <c r="Q61" s="711">
        <f>ROUND((K61*L61+M61*N61+O61*P61),2)</f>
        <v>0</v>
      </c>
      <c r="R61" s="709">
        <f t="shared" si="40"/>
        <v>41274.050000000003</v>
      </c>
      <c r="S61" s="111"/>
      <c r="T61" s="709">
        <f t="shared" si="41"/>
        <v>51108.05</v>
      </c>
      <c r="U61" s="111"/>
      <c r="V61" s="709">
        <f t="shared" si="42"/>
        <v>48738.38</v>
      </c>
      <c r="W61" s="111"/>
      <c r="X61" s="711">
        <f>ROUND((R61*S61+T61*U61+V61*W61),2)</f>
        <v>0</v>
      </c>
      <c r="Y61" s="709">
        <f t="shared" si="43"/>
        <v>45569.73</v>
      </c>
      <c r="Z61" s="111"/>
      <c r="AA61" s="709">
        <f t="shared" si="44"/>
        <v>56496.39</v>
      </c>
      <c r="AB61" s="111"/>
      <c r="AC61" s="711">
        <f>ROUND((Y61*Z61+AA61*AB61),2)</f>
        <v>0</v>
      </c>
      <c r="AD61" s="709">
        <f t="shared" si="45"/>
        <v>54161.08</v>
      </c>
      <c r="AE61" s="114"/>
      <c r="AF61" s="709">
        <f t="shared" si="46"/>
        <v>67273.070000000007</v>
      </c>
      <c r="AG61" s="114"/>
      <c r="AH61" s="709">
        <f t="shared" si="47"/>
        <v>64113.51</v>
      </c>
      <c r="AI61" s="113"/>
      <c r="AJ61" s="711">
        <f>ROUND((AD61*AE61+AF61*AG61+AH61*AI61),2)</f>
        <v>0</v>
      </c>
      <c r="AK61" s="709">
        <f t="shared" si="48"/>
        <v>29360.82</v>
      </c>
      <c r="AL61" s="113"/>
      <c r="AM61" s="709">
        <f t="shared" si="49"/>
        <v>36645.26</v>
      </c>
      <c r="AN61" s="113"/>
      <c r="AO61" s="709">
        <f t="shared" si="50"/>
        <v>34889.949999999997</v>
      </c>
      <c r="AP61" s="113"/>
      <c r="AQ61" s="711">
        <f>ROUND((AK61*AL61+AM61*AN61+AO61*AP61),2)</f>
        <v>0</v>
      </c>
      <c r="AR61" s="709">
        <f t="shared" si="51"/>
        <v>35718.379999999997</v>
      </c>
      <c r="AS61" s="114"/>
      <c r="AT61" s="711">
        <f>ROUND((AR61*AS61),2)</f>
        <v>0</v>
      </c>
      <c r="AU61" s="712">
        <f>AT61+AQ61+AJ61+AC61+X61+Q61+J61</f>
        <v>678120.54</v>
      </c>
      <c r="AV61" s="115"/>
      <c r="AW61" s="709">
        <f t="shared" si="52"/>
        <v>65258.22</v>
      </c>
      <c r="AX61" s="113"/>
      <c r="AY61" s="709">
        <f t="shared" si="53"/>
        <v>81192.94</v>
      </c>
      <c r="AZ61" s="113"/>
      <c r="BA61" s="709">
        <f t="shared" si="54"/>
        <v>77353.2</v>
      </c>
      <c r="BB61" s="113"/>
      <c r="BC61" s="711">
        <f>ROUND((AW61*AX61+AY61*AZ61+BA61*BB61),2)</f>
        <v>0</v>
      </c>
      <c r="BD61" s="709">
        <f t="shared" si="55"/>
        <v>77787.27</v>
      </c>
      <c r="BE61" s="111"/>
      <c r="BF61" s="709">
        <f t="shared" si="56"/>
        <v>96908.93</v>
      </c>
      <c r="BG61" s="111"/>
      <c r="BH61" s="711">
        <f>ROUND((BD61*BE61+BF61*BG61),2)</f>
        <v>0</v>
      </c>
      <c r="BI61" s="713">
        <f>BH61+BC61</f>
        <v>0</v>
      </c>
      <c r="BJ61" s="709">
        <f t="shared" si="57"/>
        <v>25708.01</v>
      </c>
      <c r="BK61" s="111"/>
      <c r="BL61" s="709">
        <f t="shared" si="58"/>
        <v>27763.9</v>
      </c>
      <c r="BM61" s="111"/>
      <c r="BN61" s="709">
        <f t="shared" si="59"/>
        <v>23851.91</v>
      </c>
      <c r="BO61" s="111"/>
      <c r="BP61" s="711">
        <f>ROUND((BJ61*BK61+BL61*BM61+BN61*BO61),2)</f>
        <v>0</v>
      </c>
      <c r="BQ61" s="709">
        <f t="shared" si="60"/>
        <v>29360.82</v>
      </c>
      <c r="BR61" s="111"/>
      <c r="BS61" s="709">
        <f t="shared" si="61"/>
        <v>36645.26</v>
      </c>
      <c r="BT61" s="111"/>
      <c r="BU61" s="709">
        <f t="shared" si="62"/>
        <v>34889.949999999997</v>
      </c>
      <c r="BV61" s="111"/>
      <c r="BW61" s="711">
        <f>ROUND((BQ61*BR61+BS61*BT61+BU61*BV61),2)</f>
        <v>0</v>
      </c>
      <c r="BX61" s="145">
        <f>BV61+BT61+BR61+BO61+BM61+BK61+BG61+BE61+BB61+AZ61+AX61+AS61+AP61+AN61+AL61+AI61+AG61+AE61+AB61+Z61+W61+U61+S61+P61+N61+L61+I61+G61+E61</f>
        <v>21</v>
      </c>
      <c r="BY61" s="117"/>
      <c r="BZ61" s="117"/>
    </row>
    <row r="62" spans="1:78" s="116" customFormat="1" ht="33">
      <c r="A62" s="118"/>
      <c r="B62" s="172" t="s">
        <v>442</v>
      </c>
      <c r="C62" s="150" t="s">
        <v>443</v>
      </c>
      <c r="D62" s="709">
        <f t="shared" si="34"/>
        <v>31250.82</v>
      </c>
      <c r="E62" s="114">
        <v>7</v>
      </c>
      <c r="F62" s="709">
        <f t="shared" si="35"/>
        <v>38535.26</v>
      </c>
      <c r="G62" s="114">
        <v>0</v>
      </c>
      <c r="H62" s="709">
        <f t="shared" si="36"/>
        <v>36779.949999999997</v>
      </c>
      <c r="I62" s="114">
        <v>0</v>
      </c>
      <c r="J62" s="711">
        <f>ROUND((D62*E62+F62*G62+H62*I62),2)</f>
        <v>218755.74</v>
      </c>
      <c r="K62" s="709">
        <f t="shared" si="37"/>
        <v>35546.49</v>
      </c>
      <c r="L62" s="187">
        <f>L61+L60</f>
        <v>0</v>
      </c>
      <c r="M62" s="709">
        <f t="shared" si="38"/>
        <v>43923.6</v>
      </c>
      <c r="N62" s="187">
        <f>N61+N60</f>
        <v>0</v>
      </c>
      <c r="O62" s="709">
        <f t="shared" si="39"/>
        <v>41904.99</v>
      </c>
      <c r="P62" s="187">
        <f>P61+P60</f>
        <v>0</v>
      </c>
      <c r="Q62" s="711">
        <f>ROUND((K62*L62+M62*N62+O62*P62),2)</f>
        <v>0</v>
      </c>
      <c r="R62" s="709">
        <f t="shared" si="40"/>
        <v>41274.050000000003</v>
      </c>
      <c r="S62" s="187">
        <f>S61+S60</f>
        <v>0</v>
      </c>
      <c r="T62" s="709">
        <f t="shared" si="41"/>
        <v>51108.05</v>
      </c>
      <c r="U62" s="187">
        <f>U61+U60</f>
        <v>0</v>
      </c>
      <c r="V62" s="709">
        <f t="shared" si="42"/>
        <v>48738.38</v>
      </c>
      <c r="W62" s="187">
        <f>W61+W60</f>
        <v>0</v>
      </c>
      <c r="X62" s="711">
        <f>ROUND((R62*S62+T62*U62+V62*W62),2)</f>
        <v>0</v>
      </c>
      <c r="Y62" s="709">
        <f t="shared" si="43"/>
        <v>45569.73</v>
      </c>
      <c r="Z62" s="187">
        <f>Z61+Z60</f>
        <v>0</v>
      </c>
      <c r="AA62" s="709">
        <f t="shared" si="44"/>
        <v>56496.39</v>
      </c>
      <c r="AB62" s="187">
        <f>AB61+AB60</f>
        <v>0</v>
      </c>
      <c r="AC62" s="711">
        <f>ROUND((Y62*Z62+AA62*AB62),2)</f>
        <v>0</v>
      </c>
      <c r="AD62" s="709">
        <f t="shared" si="45"/>
        <v>54161.08</v>
      </c>
      <c r="AE62" s="114"/>
      <c r="AF62" s="709">
        <f t="shared" si="46"/>
        <v>67273.070000000007</v>
      </c>
      <c r="AG62" s="114"/>
      <c r="AH62" s="709">
        <f t="shared" si="47"/>
        <v>64113.51</v>
      </c>
      <c r="AI62" s="187">
        <f>AI61+AI60</f>
        <v>0</v>
      </c>
      <c r="AJ62" s="711">
        <f>ROUND((AD62*AE62+AF62*AG62+AH62*AI62),2)</f>
        <v>0</v>
      </c>
      <c r="AK62" s="709">
        <f t="shared" si="48"/>
        <v>29360.82</v>
      </c>
      <c r="AL62" s="187">
        <f>AL61+AL60</f>
        <v>0</v>
      </c>
      <c r="AM62" s="709">
        <f t="shared" si="49"/>
        <v>36645.26</v>
      </c>
      <c r="AN62" s="187">
        <f>AN61+AN60</f>
        <v>0</v>
      </c>
      <c r="AO62" s="709">
        <f t="shared" si="50"/>
        <v>34889.949999999997</v>
      </c>
      <c r="AP62" s="187">
        <f>AP61+AP60</f>
        <v>0</v>
      </c>
      <c r="AQ62" s="711">
        <f>ROUND((AK62*AL62+AM62*AN62+AO62*AP62),2)</f>
        <v>0</v>
      </c>
      <c r="AR62" s="709">
        <f t="shared" si="51"/>
        <v>35718.379999999997</v>
      </c>
      <c r="AS62" s="187">
        <f>AS61+AS60</f>
        <v>0</v>
      </c>
      <c r="AT62" s="711">
        <f>ROUND((AR62*AS62),2)</f>
        <v>0</v>
      </c>
      <c r="AU62" s="712">
        <f>AT62+AQ62+AJ62+AC62+X62+Q62+J62</f>
        <v>218755.74</v>
      </c>
      <c r="AV62" s="187">
        <f>AV61+AV60</f>
        <v>0</v>
      </c>
      <c r="AW62" s="709">
        <f t="shared" si="52"/>
        <v>65258.22</v>
      </c>
      <c r="AX62" s="187">
        <f>AX61+AX60</f>
        <v>0</v>
      </c>
      <c r="AY62" s="709">
        <f t="shared" si="53"/>
        <v>81192.94</v>
      </c>
      <c r="AZ62" s="187">
        <f>AZ61+AZ60</f>
        <v>0</v>
      </c>
      <c r="BA62" s="709">
        <f t="shared" si="54"/>
        <v>77353.2</v>
      </c>
      <c r="BB62" s="187">
        <f>BB61+BB60</f>
        <v>0</v>
      </c>
      <c r="BC62" s="711">
        <f>ROUND((AW62*AX62+AY62*AZ62+BA62*BB62),2)</f>
        <v>0</v>
      </c>
      <c r="BD62" s="709">
        <f t="shared" si="55"/>
        <v>77787.27</v>
      </c>
      <c r="BE62" s="187">
        <f>BE61+BE60</f>
        <v>0</v>
      </c>
      <c r="BF62" s="709">
        <f t="shared" si="56"/>
        <v>96908.93</v>
      </c>
      <c r="BG62" s="187">
        <f>BG61+BG60</f>
        <v>0</v>
      </c>
      <c r="BH62" s="711">
        <f>ROUND((BD62*BE62+BF62*BG62),2)</f>
        <v>0</v>
      </c>
      <c r="BI62" s="713">
        <f>BH62+BC62</f>
        <v>0</v>
      </c>
      <c r="BJ62" s="709">
        <f t="shared" si="57"/>
        <v>25708.01</v>
      </c>
      <c r="BK62" s="187">
        <f>BK61+BK60</f>
        <v>0</v>
      </c>
      <c r="BL62" s="709">
        <f t="shared" si="58"/>
        <v>27763.9</v>
      </c>
      <c r="BM62" s="187">
        <f>BM61+BM60</f>
        <v>0</v>
      </c>
      <c r="BN62" s="709">
        <f t="shared" si="59"/>
        <v>23851.91</v>
      </c>
      <c r="BO62" s="187">
        <f>BO61+BO60</f>
        <v>0</v>
      </c>
      <c r="BP62" s="711">
        <f>ROUND((BJ62*BK62+BL62*BM62+BN62*BO62),2)</f>
        <v>0</v>
      </c>
      <c r="BQ62" s="709">
        <f t="shared" si="60"/>
        <v>29360.82</v>
      </c>
      <c r="BR62" s="187">
        <f>BR61+BR60</f>
        <v>0</v>
      </c>
      <c r="BS62" s="709">
        <f t="shared" si="61"/>
        <v>36645.26</v>
      </c>
      <c r="BT62" s="187">
        <f>BT61+BT60</f>
        <v>0</v>
      </c>
      <c r="BU62" s="709">
        <f t="shared" si="62"/>
        <v>34889.949999999997</v>
      </c>
      <c r="BV62" s="187">
        <f>BV61+BV60</f>
        <v>0</v>
      </c>
      <c r="BW62" s="711">
        <f>ROUND((BQ62*BR62+BS62*BT62+BU62*BV62),2)</f>
        <v>0</v>
      </c>
      <c r="BX62" s="145">
        <f>BV62+BT62+BR62+BO62+BM62+BK62+BG62+BE62+BB62+AZ62+AX62+AS62+AP62+AN62+AL62+AI62+AG62+AE62+AB62+Z62+W62+U62+S62+P62+N62+L62+I62+G62+E62</f>
        <v>7</v>
      </c>
      <c r="BY62" s="117"/>
      <c r="BZ62" s="117"/>
    </row>
    <row r="63" spans="1:78" s="719" customFormat="1" ht="18.75">
      <c r="A63" s="714"/>
      <c r="B63" s="715" t="s">
        <v>444</v>
      </c>
      <c r="C63" s="716"/>
      <c r="D63" s="709">
        <f t="shared" si="34"/>
        <v>31250.82</v>
      </c>
      <c r="E63" s="717">
        <f>SUM(E59:E62)</f>
        <v>250</v>
      </c>
      <c r="F63" s="709">
        <f t="shared" si="35"/>
        <v>38535.26</v>
      </c>
      <c r="G63" s="717">
        <f>SUM(G59:G62)</f>
        <v>263</v>
      </c>
      <c r="H63" s="709">
        <f t="shared" si="36"/>
        <v>36779.949999999997</v>
      </c>
      <c r="I63" s="717">
        <f>SUM(I59:I62)</f>
        <v>45</v>
      </c>
      <c r="J63" s="717">
        <f t="shared" ref="J63:BP63" si="75">SUM(J59:J62)</f>
        <v>19602576.129999995</v>
      </c>
      <c r="K63" s="709">
        <f t="shared" si="37"/>
        <v>35546.49</v>
      </c>
      <c r="L63" s="717">
        <f t="shared" si="75"/>
        <v>0</v>
      </c>
      <c r="M63" s="709">
        <f t="shared" si="38"/>
        <v>43923.6</v>
      </c>
      <c r="N63" s="717">
        <f t="shared" si="75"/>
        <v>0</v>
      </c>
      <c r="O63" s="709">
        <f t="shared" si="39"/>
        <v>41904.99</v>
      </c>
      <c r="P63" s="717">
        <f t="shared" si="75"/>
        <v>0</v>
      </c>
      <c r="Q63" s="717">
        <f t="shared" si="75"/>
        <v>0</v>
      </c>
      <c r="R63" s="709">
        <f t="shared" si="40"/>
        <v>41274.050000000003</v>
      </c>
      <c r="S63" s="717">
        <f t="shared" si="75"/>
        <v>0</v>
      </c>
      <c r="T63" s="709">
        <f t="shared" si="41"/>
        <v>51108.05</v>
      </c>
      <c r="U63" s="717">
        <f t="shared" si="75"/>
        <v>0</v>
      </c>
      <c r="V63" s="709">
        <f t="shared" si="42"/>
        <v>48738.38</v>
      </c>
      <c r="W63" s="717">
        <f t="shared" si="75"/>
        <v>0</v>
      </c>
      <c r="X63" s="717">
        <f t="shared" si="75"/>
        <v>0</v>
      </c>
      <c r="Y63" s="709">
        <f t="shared" si="43"/>
        <v>45569.73</v>
      </c>
      <c r="Z63" s="717">
        <f t="shared" si="75"/>
        <v>0</v>
      </c>
      <c r="AA63" s="709">
        <f t="shared" si="44"/>
        <v>56496.39</v>
      </c>
      <c r="AB63" s="717">
        <f t="shared" si="75"/>
        <v>0</v>
      </c>
      <c r="AC63" s="717">
        <f t="shared" si="75"/>
        <v>0</v>
      </c>
      <c r="AD63" s="709">
        <f t="shared" si="45"/>
        <v>54161.08</v>
      </c>
      <c r="AE63" s="717">
        <f>SUM(AE59:AE62)</f>
        <v>0</v>
      </c>
      <c r="AF63" s="709">
        <f t="shared" si="46"/>
        <v>67273.070000000007</v>
      </c>
      <c r="AG63" s="717">
        <f>SUM(AG59:AG62)</f>
        <v>0</v>
      </c>
      <c r="AH63" s="709">
        <f t="shared" si="47"/>
        <v>64113.51</v>
      </c>
      <c r="AI63" s="717">
        <f t="shared" si="75"/>
        <v>0</v>
      </c>
      <c r="AJ63" s="717">
        <f t="shared" si="75"/>
        <v>0</v>
      </c>
      <c r="AK63" s="709">
        <f t="shared" si="48"/>
        <v>29360.82</v>
      </c>
      <c r="AL63" s="717">
        <f t="shared" si="75"/>
        <v>0</v>
      </c>
      <c r="AM63" s="709">
        <f t="shared" si="49"/>
        <v>36645.26</v>
      </c>
      <c r="AN63" s="717">
        <f t="shared" si="75"/>
        <v>0</v>
      </c>
      <c r="AO63" s="709">
        <f t="shared" si="50"/>
        <v>34889.949999999997</v>
      </c>
      <c r="AP63" s="717">
        <f t="shared" si="75"/>
        <v>0</v>
      </c>
      <c r="AQ63" s="717">
        <f t="shared" si="75"/>
        <v>0</v>
      </c>
      <c r="AR63" s="709">
        <f t="shared" si="51"/>
        <v>35718.379999999997</v>
      </c>
      <c r="AS63" s="717">
        <f t="shared" si="75"/>
        <v>0</v>
      </c>
      <c r="AT63" s="717">
        <f t="shared" si="75"/>
        <v>0</v>
      </c>
      <c r="AU63" s="1064">
        <f t="shared" si="75"/>
        <v>19602576.129999995</v>
      </c>
      <c r="AV63" s="718">
        <f>'старое не смотреть'!D97</f>
        <v>31886724</v>
      </c>
      <c r="AW63" s="709">
        <f t="shared" si="52"/>
        <v>65258.22</v>
      </c>
      <c r="AX63" s="717">
        <f t="shared" si="75"/>
        <v>0</v>
      </c>
      <c r="AY63" s="709">
        <f t="shared" si="53"/>
        <v>81192.94</v>
      </c>
      <c r="AZ63" s="717">
        <f t="shared" si="75"/>
        <v>0</v>
      </c>
      <c r="BA63" s="709">
        <f t="shared" si="54"/>
        <v>77353.2</v>
      </c>
      <c r="BB63" s="717">
        <f t="shared" si="75"/>
        <v>0</v>
      </c>
      <c r="BC63" s="717">
        <f t="shared" si="75"/>
        <v>0</v>
      </c>
      <c r="BD63" s="709">
        <f t="shared" si="55"/>
        <v>77787.27</v>
      </c>
      <c r="BE63" s="717">
        <f t="shared" si="75"/>
        <v>0</v>
      </c>
      <c r="BF63" s="709">
        <f t="shared" si="56"/>
        <v>96908.93</v>
      </c>
      <c r="BG63" s="717">
        <f t="shared" si="75"/>
        <v>0</v>
      </c>
      <c r="BH63" s="717">
        <f t="shared" si="75"/>
        <v>0</v>
      </c>
      <c r="BI63" s="717">
        <f t="shared" si="75"/>
        <v>0</v>
      </c>
      <c r="BJ63" s="709">
        <f t="shared" si="57"/>
        <v>25708.01</v>
      </c>
      <c r="BK63" s="717">
        <f t="shared" si="75"/>
        <v>0</v>
      </c>
      <c r="BL63" s="709">
        <f t="shared" si="58"/>
        <v>27763.9</v>
      </c>
      <c r="BM63" s="717">
        <f t="shared" si="75"/>
        <v>0</v>
      </c>
      <c r="BN63" s="709">
        <f t="shared" si="59"/>
        <v>23851.91</v>
      </c>
      <c r="BO63" s="717">
        <f t="shared" si="75"/>
        <v>0</v>
      </c>
      <c r="BP63" s="717">
        <f t="shared" si="75"/>
        <v>0</v>
      </c>
      <c r="BQ63" s="709">
        <f t="shared" si="60"/>
        <v>29360.82</v>
      </c>
      <c r="BR63" s="717">
        <f t="shared" ref="BR63:BZ63" si="76">SUM(BR59:BR62)</f>
        <v>0</v>
      </c>
      <c r="BS63" s="709">
        <f t="shared" si="61"/>
        <v>36645.26</v>
      </c>
      <c r="BT63" s="717">
        <f t="shared" si="76"/>
        <v>0</v>
      </c>
      <c r="BU63" s="709">
        <f t="shared" si="62"/>
        <v>34889.949999999997</v>
      </c>
      <c r="BV63" s="717">
        <f t="shared" si="76"/>
        <v>0</v>
      </c>
      <c r="BW63" s="717">
        <f t="shared" si="76"/>
        <v>0</v>
      </c>
      <c r="BX63" s="717">
        <f t="shared" si="76"/>
        <v>558</v>
      </c>
      <c r="BY63" s="717">
        <f t="shared" si="76"/>
        <v>0</v>
      </c>
      <c r="BZ63" s="717">
        <f t="shared" si="76"/>
        <v>0</v>
      </c>
    </row>
    <row r="64" spans="1:78" ht="26.25" customHeight="1">
      <c r="A64" s="1631" t="s">
        <v>96</v>
      </c>
      <c r="B64" s="1632"/>
      <c r="C64" s="1633"/>
      <c r="D64" s="141">
        <f t="shared" si="34"/>
        <v>31250.82</v>
      </c>
      <c r="F64" s="141">
        <f t="shared" si="35"/>
        <v>38535.26</v>
      </c>
      <c r="H64" s="141">
        <f t="shared" si="36"/>
        <v>36779.949999999997</v>
      </c>
      <c r="K64" s="141">
        <f t="shared" si="37"/>
        <v>35546.49</v>
      </c>
      <c r="M64" s="141">
        <f t="shared" si="38"/>
        <v>43923.6</v>
      </c>
      <c r="O64" s="141">
        <f t="shared" si="39"/>
        <v>41904.99</v>
      </c>
      <c r="R64" s="141">
        <f t="shared" si="40"/>
        <v>41274.050000000003</v>
      </c>
      <c r="T64" s="141">
        <f t="shared" si="41"/>
        <v>51108.05</v>
      </c>
      <c r="V64" s="141">
        <f t="shared" si="42"/>
        <v>48738.38</v>
      </c>
      <c r="Y64" s="141">
        <f t="shared" si="43"/>
        <v>45569.73</v>
      </c>
      <c r="AA64" s="141">
        <f t="shared" si="44"/>
        <v>56496.39</v>
      </c>
      <c r="AD64" s="141">
        <f t="shared" si="45"/>
        <v>54161.08</v>
      </c>
      <c r="AF64" s="141">
        <f t="shared" si="46"/>
        <v>67273.070000000007</v>
      </c>
      <c r="AH64" s="141">
        <f t="shared" si="47"/>
        <v>64113.51</v>
      </c>
      <c r="AK64" s="141">
        <f t="shared" si="48"/>
        <v>29360.82</v>
      </c>
      <c r="AM64" s="141">
        <f t="shared" si="49"/>
        <v>36645.26</v>
      </c>
      <c r="AO64" s="141">
        <f t="shared" si="50"/>
        <v>34889.949999999997</v>
      </c>
      <c r="AR64" s="141">
        <f t="shared" si="51"/>
        <v>35718.379999999997</v>
      </c>
      <c r="AV64" s="234">
        <f>ROUND(AV82/AU82,3)</f>
        <v>1.3380000000000001</v>
      </c>
      <c r="AW64" s="141">
        <f t="shared" si="52"/>
        <v>65258.22</v>
      </c>
      <c r="AY64" s="141">
        <f t="shared" si="53"/>
        <v>81192.94</v>
      </c>
      <c r="BA64" s="141">
        <f t="shared" si="54"/>
        <v>77353.2</v>
      </c>
      <c r="BD64" s="141">
        <f t="shared" si="55"/>
        <v>77787.27</v>
      </c>
      <c r="BF64" s="141">
        <f t="shared" si="56"/>
        <v>96908.93</v>
      </c>
      <c r="BJ64" s="141">
        <f t="shared" si="57"/>
        <v>25708.01</v>
      </c>
      <c r="BL64" s="141">
        <f t="shared" si="58"/>
        <v>27763.9</v>
      </c>
      <c r="BN64" s="141">
        <f t="shared" si="59"/>
        <v>23851.91</v>
      </c>
      <c r="BQ64" s="141">
        <f t="shared" si="60"/>
        <v>29360.82</v>
      </c>
      <c r="BS64" s="141">
        <f t="shared" si="61"/>
        <v>36645.26</v>
      </c>
      <c r="BU64" s="141">
        <f t="shared" si="62"/>
        <v>34889.949999999997</v>
      </c>
      <c r="BY64" s="178"/>
      <c r="BZ64" s="178"/>
    </row>
    <row r="65" spans="1:106" s="106" customFormat="1" ht="33">
      <c r="A65" s="235" t="s">
        <v>387</v>
      </c>
      <c r="B65" s="236" t="s">
        <v>445</v>
      </c>
      <c r="C65" s="237" t="s">
        <v>446</v>
      </c>
      <c r="D65" s="141">
        <f t="shared" si="34"/>
        <v>31250.82</v>
      </c>
      <c r="E65" s="104">
        <v>223</v>
      </c>
      <c r="F65" s="141">
        <f t="shared" si="35"/>
        <v>38535.26</v>
      </c>
      <c r="G65" s="104">
        <v>217</v>
      </c>
      <c r="H65" s="141">
        <f t="shared" si="36"/>
        <v>36779.949999999997</v>
      </c>
      <c r="I65" s="104">
        <v>48</v>
      </c>
      <c r="J65" s="142">
        <f>ROUND((D65*E65+F65*G65+H65*I65),2)</f>
        <v>17096521.879999999</v>
      </c>
      <c r="K65" s="141">
        <f t="shared" si="37"/>
        <v>35546.49</v>
      </c>
      <c r="L65" s="101"/>
      <c r="M65" s="141">
        <f t="shared" si="38"/>
        <v>43923.6</v>
      </c>
      <c r="N65" s="101"/>
      <c r="O65" s="141">
        <f t="shared" si="39"/>
        <v>41904.99</v>
      </c>
      <c r="P65" s="101"/>
      <c r="Q65" s="142">
        <f>ROUND((K65*L65+M65*N65+O65*P65),2)</f>
        <v>0</v>
      </c>
      <c r="R65" s="141">
        <f t="shared" si="40"/>
        <v>41274.050000000003</v>
      </c>
      <c r="S65" s="100"/>
      <c r="T65" s="141">
        <f t="shared" si="41"/>
        <v>51108.05</v>
      </c>
      <c r="U65" s="100"/>
      <c r="V65" s="141">
        <f t="shared" si="42"/>
        <v>48738.38</v>
      </c>
      <c r="W65" s="103"/>
      <c r="X65" s="142">
        <f>ROUND((R65*S65+T65*U65+V65*W65),2)</f>
        <v>0</v>
      </c>
      <c r="Y65" s="141">
        <f t="shared" si="43"/>
        <v>45569.73</v>
      </c>
      <c r="Z65" s="100"/>
      <c r="AA65" s="141">
        <f t="shared" si="44"/>
        <v>56496.39</v>
      </c>
      <c r="AB65" s="100"/>
      <c r="AC65" s="142">
        <f>ROUND((Y65*Z65+AA65*AB65),2)</f>
        <v>0</v>
      </c>
      <c r="AD65" s="141">
        <f t="shared" si="45"/>
        <v>54161.08</v>
      </c>
      <c r="AE65" s="104">
        <v>2</v>
      </c>
      <c r="AF65" s="141">
        <f t="shared" si="46"/>
        <v>67273.070000000007</v>
      </c>
      <c r="AG65" s="104">
        <v>1</v>
      </c>
      <c r="AH65" s="141">
        <f t="shared" si="47"/>
        <v>64113.51</v>
      </c>
      <c r="AI65" s="101"/>
      <c r="AJ65" s="142">
        <f>ROUND((AD65*AE65+AF65*AG65+AH65*AI65),2)</f>
        <v>175595.23</v>
      </c>
      <c r="AK65" s="141">
        <f t="shared" si="48"/>
        <v>29360.82</v>
      </c>
      <c r="AL65" s="101"/>
      <c r="AM65" s="141">
        <f t="shared" si="49"/>
        <v>36645.26</v>
      </c>
      <c r="AN65" s="101"/>
      <c r="AO65" s="141">
        <f t="shared" si="50"/>
        <v>34889.949999999997</v>
      </c>
      <c r="AP65" s="101"/>
      <c r="AQ65" s="142">
        <f>ROUND((AK65*AL65+AM65*AN65+AO65*AP65),2)</f>
        <v>0</v>
      </c>
      <c r="AR65" s="141">
        <f t="shared" si="51"/>
        <v>35718.379999999997</v>
      </c>
      <c r="AS65" s="104"/>
      <c r="AT65" s="142">
        <f>ROUND((AR65*AS65),2)</f>
        <v>0</v>
      </c>
      <c r="AU65" s="143">
        <f>AT65+AQ65+AJ65+AC65+X65+Q65+J65</f>
        <v>17272117.109999999</v>
      </c>
      <c r="AV65" s="105"/>
      <c r="AW65" s="141">
        <f t="shared" si="52"/>
        <v>65258.22</v>
      </c>
      <c r="AX65" s="102"/>
      <c r="AY65" s="141">
        <f t="shared" si="53"/>
        <v>81192.94</v>
      </c>
      <c r="AZ65" s="102"/>
      <c r="BA65" s="141">
        <f t="shared" si="54"/>
        <v>77353.2</v>
      </c>
      <c r="BB65" s="102"/>
      <c r="BC65" s="142">
        <f>ROUND((AW65*AX65+AY65*AZ65+BA65*BB65),2)</f>
        <v>0</v>
      </c>
      <c r="BD65" s="141">
        <f t="shared" si="55"/>
        <v>77787.27</v>
      </c>
      <c r="BE65" s="100"/>
      <c r="BF65" s="141">
        <f t="shared" si="56"/>
        <v>96908.93</v>
      </c>
      <c r="BG65" s="100"/>
      <c r="BH65" s="142">
        <f>ROUND((BD65*BE65+BF65*BG65),2)</f>
        <v>0</v>
      </c>
      <c r="BI65" s="144">
        <f>BH65+BC65</f>
        <v>0</v>
      </c>
      <c r="BJ65" s="141">
        <f t="shared" si="57"/>
        <v>25708.01</v>
      </c>
      <c r="BK65" s="100"/>
      <c r="BL65" s="141">
        <f t="shared" si="58"/>
        <v>27763.9</v>
      </c>
      <c r="BM65" s="100"/>
      <c r="BN65" s="141">
        <f t="shared" si="59"/>
        <v>23851.91</v>
      </c>
      <c r="BO65" s="100"/>
      <c r="BP65" s="142">
        <f>ROUND((BJ65*BK65+BL65*BM65+BN65*BO65),2)</f>
        <v>0</v>
      </c>
      <c r="BQ65" s="141">
        <f t="shared" si="60"/>
        <v>29360.82</v>
      </c>
      <c r="BR65" s="103"/>
      <c r="BS65" s="141">
        <f t="shared" si="61"/>
        <v>36645.26</v>
      </c>
      <c r="BT65" s="100"/>
      <c r="BU65" s="141">
        <f t="shared" si="62"/>
        <v>34889.949999999997</v>
      </c>
      <c r="BV65" s="100"/>
      <c r="BW65" s="142">
        <f>ROUND((BQ65*BR65+BS65*BT65+BU65*BV65),2)</f>
        <v>0</v>
      </c>
      <c r="BX65" s="145">
        <f>BV65+BT65+BR65+BO65+BM65+BK65+BG65+BE65+BB65+AZ65+AX65+AS65+AP65+AN65+AL65+AI65+AG65+AE65+AB65+Z65+W65+U65+S65+P65+N65+L65+I65+G65+E65</f>
        <v>491</v>
      </c>
      <c r="BY65" s="238"/>
      <c r="BZ65" s="238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</row>
    <row r="66" spans="1:106" s="106" customFormat="1" ht="16.5">
      <c r="A66" s="235"/>
      <c r="B66" s="236" t="s">
        <v>447</v>
      </c>
      <c r="C66" s="240"/>
      <c r="D66" s="141">
        <f t="shared" si="34"/>
        <v>31250.82</v>
      </c>
      <c r="E66" s="104">
        <v>44</v>
      </c>
      <c r="F66" s="141">
        <f t="shared" si="35"/>
        <v>38535.26</v>
      </c>
      <c r="G66" s="104">
        <v>40</v>
      </c>
      <c r="H66" s="141">
        <f t="shared" si="36"/>
        <v>36779.949999999997</v>
      </c>
      <c r="I66" s="104"/>
      <c r="J66" s="142">
        <f>ROUND((D66*E66+F66*G66+H66*I66),2)</f>
        <v>2916446.48</v>
      </c>
      <c r="K66" s="141">
        <f t="shared" si="37"/>
        <v>35546.49</v>
      </c>
      <c r="L66" s="101"/>
      <c r="M66" s="141">
        <f t="shared" si="38"/>
        <v>43923.6</v>
      </c>
      <c r="N66" s="101"/>
      <c r="O66" s="141">
        <f t="shared" si="39"/>
        <v>41904.99</v>
      </c>
      <c r="P66" s="101"/>
      <c r="Q66" s="142">
        <f>ROUND((K66*L66+M66*N66+O66*P66),2)</f>
        <v>0</v>
      </c>
      <c r="R66" s="141">
        <f t="shared" si="40"/>
        <v>41274.050000000003</v>
      </c>
      <c r="S66" s="100"/>
      <c r="T66" s="141">
        <f t="shared" si="41"/>
        <v>51108.05</v>
      </c>
      <c r="U66" s="100"/>
      <c r="V66" s="141">
        <f t="shared" si="42"/>
        <v>48738.38</v>
      </c>
      <c r="W66" s="103"/>
      <c r="X66" s="142">
        <f>ROUND((R66*S66+T66*U66+V66*W66),2)</f>
        <v>0</v>
      </c>
      <c r="Y66" s="141">
        <f t="shared" si="43"/>
        <v>45569.73</v>
      </c>
      <c r="Z66" s="100"/>
      <c r="AA66" s="141">
        <f t="shared" si="44"/>
        <v>56496.39</v>
      </c>
      <c r="AB66" s="100"/>
      <c r="AC66" s="142">
        <f>ROUND((Y66*Z66+AA66*AB66),2)</f>
        <v>0</v>
      </c>
      <c r="AD66" s="141">
        <f t="shared" si="45"/>
        <v>54161.08</v>
      </c>
      <c r="AE66" s="104"/>
      <c r="AF66" s="141">
        <f t="shared" si="46"/>
        <v>67273.070000000007</v>
      </c>
      <c r="AG66" s="104">
        <v>1</v>
      </c>
      <c r="AH66" s="141">
        <f t="shared" si="47"/>
        <v>64113.51</v>
      </c>
      <c r="AI66" s="101"/>
      <c r="AJ66" s="142">
        <f>ROUND((AD66*AE66+AF66*AG66+AH66*AI66),2)</f>
        <v>67273.070000000007</v>
      </c>
      <c r="AK66" s="141">
        <f t="shared" si="48"/>
        <v>29360.82</v>
      </c>
      <c r="AL66" s="101"/>
      <c r="AM66" s="141">
        <f t="shared" si="49"/>
        <v>36645.26</v>
      </c>
      <c r="AN66" s="101"/>
      <c r="AO66" s="141">
        <f t="shared" si="50"/>
        <v>34889.949999999997</v>
      </c>
      <c r="AP66" s="101"/>
      <c r="AQ66" s="142">
        <f>ROUND((AK66*AL66+AM66*AN66+AO66*AP66),2)</f>
        <v>0</v>
      </c>
      <c r="AR66" s="141">
        <f t="shared" si="51"/>
        <v>35718.379999999997</v>
      </c>
      <c r="AS66" s="104"/>
      <c r="AT66" s="142">
        <f>ROUND((AR66*AS66),2)</f>
        <v>0</v>
      </c>
      <c r="AU66" s="143">
        <f>AT66+AQ66+AJ66+AC66+X66+Q66+J66</f>
        <v>2983719.55</v>
      </c>
      <c r="AV66" s="105"/>
      <c r="AW66" s="141">
        <f t="shared" si="52"/>
        <v>65258.22</v>
      </c>
      <c r="AX66" s="102"/>
      <c r="AY66" s="141">
        <f t="shared" si="53"/>
        <v>81192.94</v>
      </c>
      <c r="AZ66" s="102"/>
      <c r="BA66" s="141">
        <f t="shared" si="54"/>
        <v>77353.2</v>
      </c>
      <c r="BB66" s="102"/>
      <c r="BC66" s="142">
        <f>ROUND((AW66*AX66+AY66*AZ66+BA66*BB66),2)</f>
        <v>0</v>
      </c>
      <c r="BD66" s="141">
        <f t="shared" si="55"/>
        <v>77787.27</v>
      </c>
      <c r="BE66" s="100"/>
      <c r="BF66" s="141">
        <f t="shared" si="56"/>
        <v>96908.93</v>
      </c>
      <c r="BG66" s="100"/>
      <c r="BH66" s="142">
        <f>ROUND((BD66*BE66+BF66*BG66),2)</f>
        <v>0</v>
      </c>
      <c r="BI66" s="144">
        <f>BH66+BC66</f>
        <v>0</v>
      </c>
      <c r="BJ66" s="141">
        <f t="shared" si="57"/>
        <v>25708.01</v>
      </c>
      <c r="BK66" s="100"/>
      <c r="BL66" s="141">
        <f t="shared" si="58"/>
        <v>27763.9</v>
      </c>
      <c r="BM66" s="100"/>
      <c r="BN66" s="141">
        <f t="shared" si="59"/>
        <v>23851.91</v>
      </c>
      <c r="BO66" s="100"/>
      <c r="BP66" s="142">
        <f>ROUND((BJ66*BK66+BL66*BM66+BN66*BO66),2)</f>
        <v>0</v>
      </c>
      <c r="BQ66" s="141">
        <f t="shared" si="60"/>
        <v>29360.82</v>
      </c>
      <c r="BR66" s="103"/>
      <c r="BS66" s="141">
        <f t="shared" si="61"/>
        <v>36645.26</v>
      </c>
      <c r="BT66" s="100"/>
      <c r="BU66" s="141">
        <f t="shared" si="62"/>
        <v>34889.949999999997</v>
      </c>
      <c r="BV66" s="100"/>
      <c r="BW66" s="142">
        <f>ROUND((BQ66*BR66+BS66*BT66+BU66*BV66),2)</f>
        <v>0</v>
      </c>
      <c r="BX66" s="145">
        <f>BV66+BT66+BR66+BO66+BM66+BK66+BG66+BE66+BB66+AZ66+AX66+AS66+AP66+AN66+AL66+AI66+AG66+AE66+AB66+Z66+W66+U66+S66+P66+N66+L66+I66+G66+E66</f>
        <v>85</v>
      </c>
      <c r="BY66" s="238"/>
      <c r="BZ66" s="238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</row>
    <row r="67" spans="1:106" s="106" customFormat="1" ht="16.5">
      <c r="A67" s="235"/>
      <c r="B67" s="236" t="s">
        <v>448</v>
      </c>
      <c r="C67" s="240"/>
      <c r="D67" s="141">
        <f t="shared" si="34"/>
        <v>31250.82</v>
      </c>
      <c r="E67" s="104">
        <v>8</v>
      </c>
      <c r="F67" s="141">
        <f t="shared" si="35"/>
        <v>38535.26</v>
      </c>
      <c r="G67" s="104">
        <v>12</v>
      </c>
      <c r="H67" s="141">
        <f t="shared" si="36"/>
        <v>36779.949999999997</v>
      </c>
      <c r="I67" s="104"/>
      <c r="J67" s="142">
        <f>ROUND((D67*E67+F67*G67+H67*I67),2)</f>
        <v>712429.68</v>
      </c>
      <c r="K67" s="141">
        <f t="shared" si="37"/>
        <v>35546.49</v>
      </c>
      <c r="L67" s="101"/>
      <c r="M67" s="141">
        <f t="shared" si="38"/>
        <v>43923.6</v>
      </c>
      <c r="N67" s="101"/>
      <c r="O67" s="141">
        <f t="shared" si="39"/>
        <v>41904.99</v>
      </c>
      <c r="P67" s="101"/>
      <c r="Q67" s="142">
        <f>ROUND((K67*L67+M67*N67+O67*P67),2)</f>
        <v>0</v>
      </c>
      <c r="R67" s="141">
        <f t="shared" si="40"/>
        <v>41274.050000000003</v>
      </c>
      <c r="S67" s="100"/>
      <c r="T67" s="141">
        <f t="shared" si="41"/>
        <v>51108.05</v>
      </c>
      <c r="U67" s="100"/>
      <c r="V67" s="141">
        <f t="shared" si="42"/>
        <v>48738.38</v>
      </c>
      <c r="W67" s="103"/>
      <c r="X67" s="142">
        <f>ROUND((R67*S67+T67*U67+V67*W67),2)</f>
        <v>0</v>
      </c>
      <c r="Y67" s="141">
        <f t="shared" si="43"/>
        <v>45569.73</v>
      </c>
      <c r="Z67" s="100"/>
      <c r="AA67" s="141">
        <f t="shared" si="44"/>
        <v>56496.39</v>
      </c>
      <c r="AB67" s="100"/>
      <c r="AC67" s="142">
        <f>ROUND((Y67*Z67+AA67*AB67),2)</f>
        <v>0</v>
      </c>
      <c r="AD67" s="141">
        <f t="shared" si="45"/>
        <v>54161.08</v>
      </c>
      <c r="AE67" s="104"/>
      <c r="AF67" s="141">
        <f t="shared" si="46"/>
        <v>67273.070000000007</v>
      </c>
      <c r="AG67" s="104"/>
      <c r="AH67" s="141">
        <f t="shared" si="47"/>
        <v>64113.51</v>
      </c>
      <c r="AI67" s="101"/>
      <c r="AJ67" s="142">
        <f>ROUND((AD67*AE67+AF67*AG67+AH67*AI67),2)</f>
        <v>0</v>
      </c>
      <c r="AK67" s="141">
        <f t="shared" si="48"/>
        <v>29360.82</v>
      </c>
      <c r="AL67" s="101"/>
      <c r="AM67" s="141">
        <f t="shared" si="49"/>
        <v>36645.26</v>
      </c>
      <c r="AN67" s="101"/>
      <c r="AO67" s="141">
        <f t="shared" si="50"/>
        <v>34889.949999999997</v>
      </c>
      <c r="AP67" s="101"/>
      <c r="AQ67" s="142">
        <f>ROUND((AK67*AL67+AM67*AN67+AO67*AP67),2)</f>
        <v>0</v>
      </c>
      <c r="AR67" s="141">
        <f t="shared" si="51"/>
        <v>35718.379999999997</v>
      </c>
      <c r="AS67" s="104"/>
      <c r="AT67" s="142">
        <f>ROUND((AR67*AS67),2)</f>
        <v>0</v>
      </c>
      <c r="AU67" s="143">
        <f>AT67+AQ67+AJ67+AC67+X67+Q67+J67</f>
        <v>712429.68</v>
      </c>
      <c r="AV67" s="105"/>
      <c r="AW67" s="141">
        <f t="shared" si="52"/>
        <v>65258.22</v>
      </c>
      <c r="AX67" s="102"/>
      <c r="AY67" s="141">
        <f t="shared" si="53"/>
        <v>81192.94</v>
      </c>
      <c r="AZ67" s="102"/>
      <c r="BA67" s="141">
        <f t="shared" si="54"/>
        <v>77353.2</v>
      </c>
      <c r="BB67" s="102"/>
      <c r="BC67" s="142">
        <f>ROUND((AW67*AX67+AY67*AZ67+BA67*BB67),2)</f>
        <v>0</v>
      </c>
      <c r="BD67" s="141">
        <f t="shared" si="55"/>
        <v>77787.27</v>
      </c>
      <c r="BE67" s="100"/>
      <c r="BF67" s="141">
        <f t="shared" si="56"/>
        <v>96908.93</v>
      </c>
      <c r="BG67" s="100"/>
      <c r="BH67" s="142">
        <f>ROUND((BD67*BE67+BF67*BG67),2)</f>
        <v>0</v>
      </c>
      <c r="BI67" s="144">
        <f>BH67+BC67</f>
        <v>0</v>
      </c>
      <c r="BJ67" s="141">
        <f t="shared" si="57"/>
        <v>25708.01</v>
      </c>
      <c r="BK67" s="100"/>
      <c r="BL67" s="141">
        <f t="shared" si="58"/>
        <v>27763.9</v>
      </c>
      <c r="BM67" s="100"/>
      <c r="BN67" s="141">
        <f t="shared" si="59"/>
        <v>23851.91</v>
      </c>
      <c r="BO67" s="100"/>
      <c r="BP67" s="142">
        <f>ROUND((BJ67*BK67+BL67*BM67+BN67*BO67),2)</f>
        <v>0</v>
      </c>
      <c r="BQ67" s="141">
        <f t="shared" si="60"/>
        <v>29360.82</v>
      </c>
      <c r="BR67" s="103"/>
      <c r="BS67" s="141">
        <f t="shared" si="61"/>
        <v>36645.26</v>
      </c>
      <c r="BT67" s="100"/>
      <c r="BU67" s="141">
        <f t="shared" si="62"/>
        <v>34889.949999999997</v>
      </c>
      <c r="BV67" s="100"/>
      <c r="BW67" s="142">
        <f>ROUND((BQ67*BR67+BS67*BT67+BU67*BV67),2)</f>
        <v>0</v>
      </c>
      <c r="BX67" s="145">
        <f>BV67+BT67+BR67+BO67+BM67+BK67+BG67+BE67+BB67+AZ67+AX67+AS67+AP67+AN67+AL67+AI67+AG67+AE67+AB67+Z67+W67+U67+S67+P67+N67+L67+I67+G67+E67</f>
        <v>20</v>
      </c>
      <c r="BY67" s="238"/>
      <c r="BZ67" s="238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</row>
    <row r="68" spans="1:106" s="106" customFormat="1" ht="16.5">
      <c r="A68" s="235"/>
      <c r="B68" s="236" t="s">
        <v>449</v>
      </c>
      <c r="C68" s="240"/>
      <c r="D68" s="141">
        <f t="shared" si="34"/>
        <v>31250.82</v>
      </c>
      <c r="E68" s="104">
        <v>53</v>
      </c>
      <c r="F68" s="141">
        <f t="shared" si="35"/>
        <v>38535.26</v>
      </c>
      <c r="G68" s="104">
        <v>52</v>
      </c>
      <c r="H68" s="141">
        <f t="shared" si="36"/>
        <v>36779.949999999997</v>
      </c>
      <c r="I68" s="104"/>
      <c r="J68" s="142">
        <f>ROUND((D68*E68+F68*G68+H68*I68),2)</f>
        <v>3660126.98</v>
      </c>
      <c r="K68" s="141">
        <f t="shared" si="37"/>
        <v>35546.49</v>
      </c>
      <c r="L68" s="101"/>
      <c r="M68" s="141">
        <f t="shared" si="38"/>
        <v>43923.6</v>
      </c>
      <c r="N68" s="101"/>
      <c r="O68" s="141">
        <f t="shared" si="39"/>
        <v>41904.99</v>
      </c>
      <c r="P68" s="101"/>
      <c r="Q68" s="142">
        <f>ROUND((K68*L68+M68*N68+O68*P68),2)</f>
        <v>0</v>
      </c>
      <c r="R68" s="141">
        <f t="shared" si="40"/>
        <v>41274.050000000003</v>
      </c>
      <c r="S68" s="100"/>
      <c r="T68" s="141">
        <f t="shared" si="41"/>
        <v>51108.05</v>
      </c>
      <c r="U68" s="100"/>
      <c r="V68" s="141">
        <f t="shared" si="42"/>
        <v>48738.38</v>
      </c>
      <c r="W68" s="103"/>
      <c r="X68" s="142">
        <f>ROUND((R68*S68+T68*U68+V68*W68),2)</f>
        <v>0</v>
      </c>
      <c r="Y68" s="141">
        <f t="shared" si="43"/>
        <v>45569.73</v>
      </c>
      <c r="Z68" s="100"/>
      <c r="AA68" s="141">
        <f t="shared" si="44"/>
        <v>56496.39</v>
      </c>
      <c r="AB68" s="100"/>
      <c r="AC68" s="142">
        <f>ROUND((Y68*Z68+AA68*AB68),2)</f>
        <v>0</v>
      </c>
      <c r="AD68" s="141">
        <f t="shared" si="45"/>
        <v>54161.08</v>
      </c>
      <c r="AE68" s="104">
        <v>1</v>
      </c>
      <c r="AF68" s="141">
        <f t="shared" si="46"/>
        <v>67273.070000000007</v>
      </c>
      <c r="AG68" s="104">
        <v>1</v>
      </c>
      <c r="AH68" s="141">
        <f t="shared" si="47"/>
        <v>64113.51</v>
      </c>
      <c r="AI68" s="101"/>
      <c r="AJ68" s="142">
        <f>ROUND((AD68*AE68+AF68*AG68+AH68*AI68),2)</f>
        <v>121434.15</v>
      </c>
      <c r="AK68" s="141">
        <f t="shared" si="48"/>
        <v>29360.82</v>
      </c>
      <c r="AL68" s="101"/>
      <c r="AM68" s="141">
        <f t="shared" si="49"/>
        <v>36645.26</v>
      </c>
      <c r="AN68" s="101"/>
      <c r="AO68" s="141">
        <f t="shared" si="50"/>
        <v>34889.949999999997</v>
      </c>
      <c r="AP68" s="101"/>
      <c r="AQ68" s="142">
        <f>ROUND((AK68*AL68+AM68*AN68+AO68*AP68),2)</f>
        <v>0</v>
      </c>
      <c r="AR68" s="141">
        <f t="shared" si="51"/>
        <v>35718.379999999997</v>
      </c>
      <c r="AS68" s="104"/>
      <c r="AT68" s="142">
        <f>ROUND((AR68*AS68),2)</f>
        <v>0</v>
      </c>
      <c r="AU68" s="143">
        <f>AT68+AQ68+AJ68+AC68+X68+Q68+J68</f>
        <v>3781561.13</v>
      </c>
      <c r="AV68" s="105"/>
      <c r="AW68" s="141">
        <f t="shared" si="52"/>
        <v>65258.22</v>
      </c>
      <c r="AX68" s="102"/>
      <c r="AY68" s="141">
        <f t="shared" si="53"/>
        <v>81192.94</v>
      </c>
      <c r="AZ68" s="102"/>
      <c r="BA68" s="141">
        <f t="shared" si="54"/>
        <v>77353.2</v>
      </c>
      <c r="BB68" s="102"/>
      <c r="BC68" s="142">
        <f>ROUND((AW68*AX68+AY68*AZ68+BA68*BB68),2)</f>
        <v>0</v>
      </c>
      <c r="BD68" s="141">
        <f t="shared" si="55"/>
        <v>77787.27</v>
      </c>
      <c r="BE68" s="100"/>
      <c r="BF68" s="141">
        <f t="shared" si="56"/>
        <v>96908.93</v>
      </c>
      <c r="BG68" s="100"/>
      <c r="BH68" s="142">
        <f>ROUND((BD68*BE68+BF68*BG68),2)</f>
        <v>0</v>
      </c>
      <c r="BI68" s="144">
        <f>BH68+BC68</f>
        <v>0</v>
      </c>
      <c r="BJ68" s="141">
        <f t="shared" si="57"/>
        <v>25708.01</v>
      </c>
      <c r="BK68" s="100"/>
      <c r="BL68" s="141">
        <f t="shared" si="58"/>
        <v>27763.9</v>
      </c>
      <c r="BM68" s="100"/>
      <c r="BN68" s="141">
        <f t="shared" si="59"/>
        <v>23851.91</v>
      </c>
      <c r="BO68" s="100"/>
      <c r="BP68" s="142">
        <f>ROUND((BJ68*BK68+BL68*BM68+BN68*BO68),2)</f>
        <v>0</v>
      </c>
      <c r="BQ68" s="141">
        <f t="shared" si="60"/>
        <v>29360.82</v>
      </c>
      <c r="BR68" s="103"/>
      <c r="BS68" s="141">
        <f t="shared" si="61"/>
        <v>36645.26</v>
      </c>
      <c r="BT68" s="100"/>
      <c r="BU68" s="141">
        <f t="shared" si="62"/>
        <v>34889.949999999997</v>
      </c>
      <c r="BV68" s="100"/>
      <c r="BW68" s="142">
        <f>ROUND((BQ68*BR68+BS68*BT68+BU68*BV68),2)</f>
        <v>0</v>
      </c>
      <c r="BX68" s="145">
        <f>BV68+BT68+BR68+BO68+BM68+BK68+BG68+BE68+BB68+AZ68+AX68+AS68+AP68+AN68+AL68+AI68+AG68+AE68+AB68+Z68+W68+U68+S68+P68+N68+L68+I68+G68+E68</f>
        <v>107</v>
      </c>
      <c r="BY68" s="238"/>
      <c r="BZ68" s="238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39"/>
      <c r="DB68" s="239"/>
    </row>
    <row r="69" spans="1:106" s="106" customFormat="1" ht="16.5">
      <c r="A69" s="235"/>
      <c r="B69" s="236" t="s">
        <v>450</v>
      </c>
      <c r="C69" s="240"/>
      <c r="D69" s="141">
        <f t="shared" si="34"/>
        <v>31250.82</v>
      </c>
      <c r="E69" s="104">
        <v>9</v>
      </c>
      <c r="F69" s="141">
        <f t="shared" si="35"/>
        <v>38535.26</v>
      </c>
      <c r="G69" s="104">
        <v>10</v>
      </c>
      <c r="H69" s="141">
        <f t="shared" si="36"/>
        <v>36779.949999999997</v>
      </c>
      <c r="I69" s="104"/>
      <c r="J69" s="142">
        <f>ROUND((D69*E69+F69*G69+H69*I69),2)</f>
        <v>666609.98</v>
      </c>
      <c r="K69" s="141">
        <f t="shared" si="37"/>
        <v>35546.49</v>
      </c>
      <c r="L69" s="101"/>
      <c r="M69" s="141">
        <f t="shared" si="38"/>
        <v>43923.6</v>
      </c>
      <c r="N69" s="101"/>
      <c r="O69" s="141">
        <f t="shared" si="39"/>
        <v>41904.99</v>
      </c>
      <c r="P69" s="101"/>
      <c r="Q69" s="142">
        <f>ROUND((K69*L69+M69*N69+O69*P69),2)</f>
        <v>0</v>
      </c>
      <c r="R69" s="141">
        <f t="shared" si="40"/>
        <v>41274.050000000003</v>
      </c>
      <c r="S69" s="100"/>
      <c r="T69" s="141">
        <f t="shared" si="41"/>
        <v>51108.05</v>
      </c>
      <c r="U69" s="100"/>
      <c r="V69" s="141">
        <f t="shared" si="42"/>
        <v>48738.38</v>
      </c>
      <c r="W69" s="103"/>
      <c r="X69" s="142">
        <f>ROUND((R69*S69+T69*U69+V69*W69),2)</f>
        <v>0</v>
      </c>
      <c r="Y69" s="141">
        <f t="shared" si="43"/>
        <v>45569.73</v>
      </c>
      <c r="Z69" s="100"/>
      <c r="AA69" s="141">
        <f t="shared" si="44"/>
        <v>56496.39</v>
      </c>
      <c r="AB69" s="100"/>
      <c r="AC69" s="142">
        <f>ROUND((Y69*Z69+AA69*AB69),2)</f>
        <v>0</v>
      </c>
      <c r="AD69" s="141">
        <f t="shared" si="45"/>
        <v>54161.08</v>
      </c>
      <c r="AE69" s="104"/>
      <c r="AF69" s="141">
        <f t="shared" si="46"/>
        <v>67273.070000000007</v>
      </c>
      <c r="AG69" s="104"/>
      <c r="AH69" s="141">
        <f t="shared" si="47"/>
        <v>64113.51</v>
      </c>
      <c r="AI69" s="101"/>
      <c r="AJ69" s="142">
        <f>ROUND((AD69*AE69+AF69*AG69+AH69*AI69),2)</f>
        <v>0</v>
      </c>
      <c r="AK69" s="141">
        <f t="shared" si="48"/>
        <v>29360.82</v>
      </c>
      <c r="AL69" s="101"/>
      <c r="AM69" s="141">
        <f t="shared" si="49"/>
        <v>36645.26</v>
      </c>
      <c r="AN69" s="101"/>
      <c r="AO69" s="141">
        <f t="shared" si="50"/>
        <v>34889.949999999997</v>
      </c>
      <c r="AP69" s="101"/>
      <c r="AQ69" s="142">
        <f>ROUND((AK69*AL69+AM69*AN69+AO69*AP69),2)</f>
        <v>0</v>
      </c>
      <c r="AR69" s="141">
        <f t="shared" si="51"/>
        <v>35718.379999999997</v>
      </c>
      <c r="AS69" s="104"/>
      <c r="AT69" s="142">
        <f>ROUND((AR69*AS69),2)</f>
        <v>0</v>
      </c>
      <c r="AU69" s="143">
        <f>AT69+AQ69+AJ69+AC69+X69+Q69+J69</f>
        <v>666609.98</v>
      </c>
      <c r="AV69" s="105"/>
      <c r="AW69" s="141">
        <f t="shared" si="52"/>
        <v>65258.22</v>
      </c>
      <c r="AX69" s="102"/>
      <c r="AY69" s="141">
        <f t="shared" si="53"/>
        <v>81192.94</v>
      </c>
      <c r="AZ69" s="102"/>
      <c r="BA69" s="141">
        <f t="shared" si="54"/>
        <v>77353.2</v>
      </c>
      <c r="BB69" s="102"/>
      <c r="BC69" s="142">
        <f>ROUND((AW69*AX69+AY69*AZ69+BA69*BB69),2)</f>
        <v>0</v>
      </c>
      <c r="BD69" s="141">
        <f t="shared" si="55"/>
        <v>77787.27</v>
      </c>
      <c r="BE69" s="100"/>
      <c r="BF69" s="141">
        <f t="shared" si="56"/>
        <v>96908.93</v>
      </c>
      <c r="BG69" s="100"/>
      <c r="BH69" s="142">
        <f>ROUND((BD69*BE69+BF69*BG69),2)</f>
        <v>0</v>
      </c>
      <c r="BI69" s="144">
        <f>BH69+BC69</f>
        <v>0</v>
      </c>
      <c r="BJ69" s="141">
        <f t="shared" si="57"/>
        <v>25708.01</v>
      </c>
      <c r="BK69" s="100"/>
      <c r="BL69" s="141">
        <f t="shared" si="58"/>
        <v>27763.9</v>
      </c>
      <c r="BM69" s="100"/>
      <c r="BN69" s="141">
        <f t="shared" si="59"/>
        <v>23851.91</v>
      </c>
      <c r="BO69" s="100"/>
      <c r="BP69" s="142">
        <f>ROUND((BJ69*BK69+BL69*BM69+BN69*BO69),2)</f>
        <v>0</v>
      </c>
      <c r="BQ69" s="141">
        <f t="shared" si="60"/>
        <v>29360.82</v>
      </c>
      <c r="BR69" s="103"/>
      <c r="BS69" s="141">
        <f t="shared" si="61"/>
        <v>36645.26</v>
      </c>
      <c r="BT69" s="100"/>
      <c r="BU69" s="141">
        <f t="shared" si="62"/>
        <v>34889.949999999997</v>
      </c>
      <c r="BV69" s="100"/>
      <c r="BW69" s="142">
        <f>ROUND((BQ69*BR69+BS69*BT69+BU69*BV69),2)</f>
        <v>0</v>
      </c>
      <c r="BX69" s="145">
        <f>BV69+BT69+BR69+BO69+BM69+BK69+BG69+BE69+BB69+AZ69+AX69+AS69+AP69+AN69+AL69+AI69+AG69+AE69+AB69+Z69+W69+U69+S69+P69+N69+L69+I69+G69+E69</f>
        <v>19</v>
      </c>
      <c r="BY69" s="238"/>
      <c r="BZ69" s="238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239"/>
      <c r="CT69" s="239"/>
      <c r="CU69" s="239"/>
      <c r="CV69" s="239"/>
      <c r="CW69" s="239"/>
      <c r="CX69" s="239"/>
      <c r="CY69" s="239"/>
      <c r="CZ69" s="239"/>
      <c r="DA69" s="239"/>
      <c r="DB69" s="239"/>
    </row>
    <row r="70" spans="1:106" s="159" customFormat="1" ht="49.5">
      <c r="A70" s="173"/>
      <c r="B70" s="174" t="s">
        <v>451</v>
      </c>
      <c r="C70" s="175"/>
      <c r="D70" s="141">
        <f t="shared" si="34"/>
        <v>31250.82</v>
      </c>
      <c r="E70" s="241">
        <f>E65+E66+E67+E68+E69</f>
        <v>337</v>
      </c>
      <c r="F70" s="141">
        <f t="shared" si="35"/>
        <v>38535.26</v>
      </c>
      <c r="G70" s="241">
        <f>G65+G66+G67+G68+G69</f>
        <v>331</v>
      </c>
      <c r="H70" s="141">
        <f t="shared" si="36"/>
        <v>36779.949999999997</v>
      </c>
      <c r="I70" s="241">
        <f>I65+I66+I67+I68+I69</f>
        <v>48</v>
      </c>
      <c r="J70" s="208">
        <f>J65+J66+J67+J68+J69</f>
        <v>25052135</v>
      </c>
      <c r="K70" s="141">
        <f t="shared" si="37"/>
        <v>35546.49</v>
      </c>
      <c r="L70" s="208">
        <f>L65+L66+L67+L68+L69</f>
        <v>0</v>
      </c>
      <c r="M70" s="141">
        <f t="shared" si="38"/>
        <v>43923.6</v>
      </c>
      <c r="N70" s="208">
        <f>N65+N66+N67+N68+N69</f>
        <v>0</v>
      </c>
      <c r="O70" s="141">
        <f t="shared" si="39"/>
        <v>41904.99</v>
      </c>
      <c r="P70" s="208">
        <f>P65+P66+P67+P68+P69</f>
        <v>0</v>
      </c>
      <c r="Q70" s="208">
        <f>Q65+Q66+Q67+Q68+Q69</f>
        <v>0</v>
      </c>
      <c r="R70" s="141">
        <f t="shared" si="40"/>
        <v>41274.050000000003</v>
      </c>
      <c r="S70" s="208">
        <f>S65+S66+S67+S68+S69</f>
        <v>0</v>
      </c>
      <c r="T70" s="141">
        <f t="shared" si="41"/>
        <v>51108.05</v>
      </c>
      <c r="U70" s="208">
        <f>U65+U66+U67+U68+U69</f>
        <v>0</v>
      </c>
      <c r="V70" s="141">
        <f t="shared" si="42"/>
        <v>48738.38</v>
      </c>
      <c r="W70" s="208">
        <f>W65+W66+W67+W68+W69</f>
        <v>0</v>
      </c>
      <c r="X70" s="208">
        <f>X65+X66+X67+X68+X69</f>
        <v>0</v>
      </c>
      <c r="Y70" s="141">
        <f t="shared" si="43"/>
        <v>45569.73</v>
      </c>
      <c r="Z70" s="208">
        <f>Z65+Z66+Z67+Z68+Z69</f>
        <v>0</v>
      </c>
      <c r="AA70" s="141">
        <f t="shared" si="44"/>
        <v>56496.39</v>
      </c>
      <c r="AB70" s="208">
        <f>AB65+AB66+AB67+AB68+AB69</f>
        <v>0</v>
      </c>
      <c r="AC70" s="208">
        <f>AC65+AC66+AC67+AC68+AC69</f>
        <v>0</v>
      </c>
      <c r="AD70" s="141">
        <f t="shared" si="45"/>
        <v>54161.08</v>
      </c>
      <c r="AE70" s="241">
        <f>AE65+AE66+AE67+AE68+AE69</f>
        <v>3</v>
      </c>
      <c r="AF70" s="141">
        <f t="shared" si="46"/>
        <v>67273.070000000007</v>
      </c>
      <c r="AG70" s="241">
        <f>AG65+AG66+AG67+AG68+AG69</f>
        <v>3</v>
      </c>
      <c r="AH70" s="141">
        <f t="shared" si="47"/>
        <v>64113.51</v>
      </c>
      <c r="AI70" s="208">
        <f>AI65+AI66+AI67+AI68+AI69</f>
        <v>0</v>
      </c>
      <c r="AJ70" s="208">
        <f>AJ65+AJ66+AJ67+AJ68+AJ69</f>
        <v>364302.45</v>
      </c>
      <c r="AK70" s="141">
        <f t="shared" si="48"/>
        <v>29360.82</v>
      </c>
      <c r="AL70" s="208">
        <f>AL65+AL66+AL67+AL68+AL69</f>
        <v>0</v>
      </c>
      <c r="AM70" s="141">
        <f t="shared" si="49"/>
        <v>36645.26</v>
      </c>
      <c r="AN70" s="208">
        <f>AN65+AN66+AN67+AN68+AN69</f>
        <v>0</v>
      </c>
      <c r="AO70" s="141">
        <f t="shared" si="50"/>
        <v>34889.949999999997</v>
      </c>
      <c r="AP70" s="208">
        <f>AP65+AP66+AP67+AP68+AP69</f>
        <v>0</v>
      </c>
      <c r="AQ70" s="208">
        <f>AQ65+AQ66+AQ67+AQ68+AQ69</f>
        <v>0</v>
      </c>
      <c r="AR70" s="141">
        <f t="shared" si="51"/>
        <v>35718.379999999997</v>
      </c>
      <c r="AS70" s="208">
        <f>AS65+AS66+AS67+AS68+AS69</f>
        <v>0</v>
      </c>
      <c r="AT70" s="208">
        <f>AT65+AT66+AT67+AT68+AT69</f>
        <v>0</v>
      </c>
      <c r="AU70" s="407">
        <f>AU65+AU66+AU67+AU68+AU69</f>
        <v>25416437.449999999</v>
      </c>
      <c r="AV70" s="208">
        <f>'старое не смотреть'!D111</f>
        <v>37322717.799999997</v>
      </c>
      <c r="AW70" s="141">
        <f t="shared" si="52"/>
        <v>65258.22</v>
      </c>
      <c r="AX70" s="208">
        <f>AX65+AX66+AX67+AX68+AX69</f>
        <v>0</v>
      </c>
      <c r="AY70" s="141">
        <f t="shared" si="53"/>
        <v>81192.94</v>
      </c>
      <c r="AZ70" s="208">
        <f>AZ65+AZ66+AZ67+AZ68+AZ69</f>
        <v>0</v>
      </c>
      <c r="BA70" s="141">
        <f t="shared" si="54"/>
        <v>77353.2</v>
      </c>
      <c r="BB70" s="208">
        <f>BB65+BB66+BB67+BB68+BB69</f>
        <v>0</v>
      </c>
      <c r="BC70" s="208">
        <f>BC65+BC66+BC67+BC68+BC69</f>
        <v>0</v>
      </c>
      <c r="BD70" s="141">
        <f t="shared" si="55"/>
        <v>77787.27</v>
      </c>
      <c r="BE70" s="208">
        <f>BE65+BE66+BE67+BE68+BE69</f>
        <v>0</v>
      </c>
      <c r="BF70" s="141">
        <f t="shared" si="56"/>
        <v>96908.93</v>
      </c>
      <c r="BG70" s="208">
        <f>BG65+BG66+BG67+BG68+BG69</f>
        <v>0</v>
      </c>
      <c r="BH70" s="208">
        <f>BH65+BH66+BH67+BH68+BH69</f>
        <v>0</v>
      </c>
      <c r="BI70" s="208">
        <f>BI65+BI66+BI67+BI68+BI69</f>
        <v>0</v>
      </c>
      <c r="BJ70" s="141">
        <f t="shared" si="57"/>
        <v>25708.01</v>
      </c>
      <c r="BK70" s="208">
        <f>BK65+BK66+BK67+BK68+BK69</f>
        <v>0</v>
      </c>
      <c r="BL70" s="141">
        <f t="shared" si="58"/>
        <v>27763.9</v>
      </c>
      <c r="BM70" s="208">
        <f>BM65+BM66+BM67+BM68+BM69</f>
        <v>0</v>
      </c>
      <c r="BN70" s="141">
        <f t="shared" si="59"/>
        <v>23851.91</v>
      </c>
      <c r="BO70" s="208">
        <f>BO65+BO66+BO67+BO68+BO69</f>
        <v>0</v>
      </c>
      <c r="BP70" s="208">
        <f>BP65+BP66+BP67+BP68+BP69</f>
        <v>0</v>
      </c>
      <c r="BQ70" s="141">
        <f t="shared" si="60"/>
        <v>29360.82</v>
      </c>
      <c r="BR70" s="208">
        <f t="shared" ref="BR70:BX70" si="77">BR65+BR66+BR67+BR68+BR69</f>
        <v>0</v>
      </c>
      <c r="BS70" s="141">
        <f t="shared" si="61"/>
        <v>36645.26</v>
      </c>
      <c r="BT70" s="208">
        <f>BT65+BT66+BT67+BT68+BT69</f>
        <v>0</v>
      </c>
      <c r="BU70" s="141">
        <f t="shared" si="62"/>
        <v>34889.949999999997</v>
      </c>
      <c r="BV70" s="208">
        <f>BV65+BV66+BV67+BV68+BV69</f>
        <v>0</v>
      </c>
      <c r="BW70" s="208">
        <f t="shared" si="77"/>
        <v>0</v>
      </c>
      <c r="BX70" s="209">
        <f t="shared" si="77"/>
        <v>722</v>
      </c>
      <c r="BY70" s="158"/>
      <c r="BZ70" s="158"/>
    </row>
    <row r="71" spans="1:106" s="116" customFormat="1" ht="33">
      <c r="A71" s="108" t="s">
        <v>389</v>
      </c>
      <c r="B71" s="148" t="s">
        <v>452</v>
      </c>
      <c r="C71" s="147" t="s">
        <v>446</v>
      </c>
      <c r="D71" s="141">
        <f t="shared" si="34"/>
        <v>31250.82</v>
      </c>
      <c r="E71" s="114">
        <v>202</v>
      </c>
      <c r="F71" s="141">
        <f t="shared" si="35"/>
        <v>38535.26</v>
      </c>
      <c r="G71" s="114">
        <v>216</v>
      </c>
      <c r="H71" s="141">
        <f t="shared" si="36"/>
        <v>36779.949999999997</v>
      </c>
      <c r="I71" s="114">
        <v>36</v>
      </c>
      <c r="J71" s="142">
        <f>ROUND((D71*E71+F71*G71+H71*I71),2)</f>
        <v>15960360</v>
      </c>
      <c r="K71" s="141">
        <f t="shared" si="37"/>
        <v>35546.49</v>
      </c>
      <c r="L71" s="111"/>
      <c r="M71" s="141">
        <f t="shared" si="38"/>
        <v>43923.6</v>
      </c>
      <c r="N71" s="111"/>
      <c r="O71" s="141">
        <f t="shared" si="39"/>
        <v>41904.99</v>
      </c>
      <c r="P71" s="111"/>
      <c r="Q71" s="142">
        <f>ROUND((K71*L71+M71*N71+O71*P71),2)</f>
        <v>0</v>
      </c>
      <c r="R71" s="141">
        <f t="shared" si="40"/>
        <v>41274.050000000003</v>
      </c>
      <c r="S71" s="111"/>
      <c r="T71" s="141">
        <f t="shared" si="41"/>
        <v>51108.05</v>
      </c>
      <c r="U71" s="111"/>
      <c r="V71" s="141">
        <f t="shared" si="42"/>
        <v>48738.38</v>
      </c>
      <c r="W71" s="111"/>
      <c r="X71" s="142">
        <f>ROUND((R71*S71+T71*U71+V71*W71),2)</f>
        <v>0</v>
      </c>
      <c r="Y71" s="141">
        <f t="shared" si="43"/>
        <v>45569.73</v>
      </c>
      <c r="Z71" s="111"/>
      <c r="AA71" s="141">
        <f t="shared" si="44"/>
        <v>56496.39</v>
      </c>
      <c r="AB71" s="111"/>
      <c r="AC71" s="142">
        <f>ROUND((Y71*Z71+AA71*AB71),2)</f>
        <v>0</v>
      </c>
      <c r="AD71" s="141">
        <f t="shared" si="45"/>
        <v>54161.08</v>
      </c>
      <c r="AE71" s="114">
        <v>2</v>
      </c>
      <c r="AF71" s="141">
        <f t="shared" si="46"/>
        <v>67273.070000000007</v>
      </c>
      <c r="AG71" s="114">
        <v>2</v>
      </c>
      <c r="AH71" s="141">
        <f t="shared" si="47"/>
        <v>64113.51</v>
      </c>
      <c r="AI71" s="113"/>
      <c r="AJ71" s="142">
        <f>ROUND((AD71*AE71+AF71*AG71+AH71*AI71),2)</f>
        <v>242868.3</v>
      </c>
      <c r="AK71" s="141">
        <f t="shared" si="48"/>
        <v>29360.82</v>
      </c>
      <c r="AL71" s="113"/>
      <c r="AM71" s="141">
        <f t="shared" si="49"/>
        <v>36645.26</v>
      </c>
      <c r="AN71" s="113"/>
      <c r="AO71" s="141">
        <f t="shared" si="50"/>
        <v>34889.949999999997</v>
      </c>
      <c r="AP71" s="113"/>
      <c r="AQ71" s="142">
        <f>ROUND((AK71*AL71+AM71*AN71+AO71*AP71),2)</f>
        <v>0</v>
      </c>
      <c r="AR71" s="141">
        <f t="shared" si="51"/>
        <v>35718.379999999997</v>
      </c>
      <c r="AS71" s="114"/>
      <c r="AT71" s="142">
        <f>ROUND((AR71*AS71),2)</f>
        <v>0</v>
      </c>
      <c r="AU71" s="143">
        <f>AT71+AQ71+AJ71+AC71+X71+Q71+J71</f>
        <v>16203228.300000001</v>
      </c>
      <c r="AV71" s="115"/>
      <c r="AW71" s="141">
        <f t="shared" si="52"/>
        <v>65258.22</v>
      </c>
      <c r="AX71" s="113"/>
      <c r="AY71" s="141">
        <f t="shared" si="53"/>
        <v>81192.94</v>
      </c>
      <c r="AZ71" s="113"/>
      <c r="BA71" s="141">
        <f t="shared" si="54"/>
        <v>77353.2</v>
      </c>
      <c r="BB71" s="113"/>
      <c r="BC71" s="142">
        <f>ROUND((AW71*AX71+AY71*AZ71+BA71*BB71),2)</f>
        <v>0</v>
      </c>
      <c r="BD71" s="141">
        <f t="shared" si="55"/>
        <v>77787.27</v>
      </c>
      <c r="BE71" s="111"/>
      <c r="BF71" s="141">
        <f t="shared" si="56"/>
        <v>96908.93</v>
      </c>
      <c r="BG71" s="111"/>
      <c r="BH71" s="142">
        <f>ROUND((BD71*BE71+BF71*BG71),2)</f>
        <v>0</v>
      </c>
      <c r="BI71" s="144">
        <f>BH71+BC71</f>
        <v>0</v>
      </c>
      <c r="BJ71" s="141">
        <f t="shared" si="57"/>
        <v>25708.01</v>
      </c>
      <c r="BK71" s="111"/>
      <c r="BL71" s="141">
        <f t="shared" si="58"/>
        <v>27763.9</v>
      </c>
      <c r="BM71" s="111"/>
      <c r="BN71" s="141">
        <f t="shared" si="59"/>
        <v>23851.91</v>
      </c>
      <c r="BO71" s="111"/>
      <c r="BP71" s="142">
        <f>ROUND((BJ71*BK71+BL71*BM71+BN71*BO71),2)</f>
        <v>0</v>
      </c>
      <c r="BQ71" s="141">
        <f t="shared" si="60"/>
        <v>29360.82</v>
      </c>
      <c r="BR71" s="111"/>
      <c r="BS71" s="141">
        <f t="shared" si="61"/>
        <v>36645.26</v>
      </c>
      <c r="BT71" s="111"/>
      <c r="BU71" s="141">
        <f t="shared" si="62"/>
        <v>34889.949999999997</v>
      </c>
      <c r="BV71" s="111"/>
      <c r="BW71" s="142">
        <f>ROUND((BQ71*BR71+BS71*BT71+BU71*BV71),2)</f>
        <v>0</v>
      </c>
      <c r="BX71" s="222">
        <f>BV71+BT71+BR71+BO71+BM71+BK71+BG71+BE71+BB71+AZ71+AX71+AS71+AP71+AN71+AL71+AI71+AG71+AE71+AB71+Z71+W71+U71+S71+P71+N71+L71+I71+G71+E71</f>
        <v>458</v>
      </c>
      <c r="BY71" s="242"/>
      <c r="BZ71" s="242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</row>
    <row r="72" spans="1:106" s="116" customFormat="1" ht="33">
      <c r="A72" s="108"/>
      <c r="B72" s="148" t="s">
        <v>453</v>
      </c>
      <c r="C72" s="149"/>
      <c r="D72" s="141">
        <f t="shared" ref="D72:D125" si="78">D73</f>
        <v>31250.82</v>
      </c>
      <c r="E72" s="114">
        <v>24</v>
      </c>
      <c r="F72" s="141">
        <f t="shared" ref="F72:F125" si="79">F73</f>
        <v>38535.26</v>
      </c>
      <c r="G72" s="114">
        <v>33</v>
      </c>
      <c r="H72" s="141">
        <f t="shared" ref="H72:H125" si="80">H73</f>
        <v>36779.949999999997</v>
      </c>
      <c r="I72" s="114"/>
      <c r="J72" s="142">
        <f>ROUND((D72*E72+F72*G72+H72*I72),2)</f>
        <v>2021683.26</v>
      </c>
      <c r="K72" s="141">
        <f t="shared" ref="K72:K125" si="81">K73</f>
        <v>35546.49</v>
      </c>
      <c r="L72" s="111"/>
      <c r="M72" s="141">
        <f t="shared" ref="M72:M125" si="82">M73</f>
        <v>43923.6</v>
      </c>
      <c r="N72" s="111"/>
      <c r="O72" s="141">
        <f t="shared" ref="O72:O125" si="83">O73</f>
        <v>41904.99</v>
      </c>
      <c r="P72" s="111"/>
      <c r="Q72" s="142">
        <f>ROUND((K72*L72+M72*N72+O72*P72),2)</f>
        <v>0</v>
      </c>
      <c r="R72" s="141">
        <f t="shared" ref="R72:R125" si="84">R73</f>
        <v>41274.050000000003</v>
      </c>
      <c r="S72" s="111"/>
      <c r="T72" s="141">
        <f t="shared" ref="T72:T125" si="85">T73</f>
        <v>51108.05</v>
      </c>
      <c r="U72" s="111"/>
      <c r="V72" s="141">
        <f t="shared" ref="V72:V125" si="86">V73</f>
        <v>48738.38</v>
      </c>
      <c r="W72" s="111"/>
      <c r="X72" s="142">
        <f>ROUND((R72*S72+T72*U72+V72*W72),2)</f>
        <v>0</v>
      </c>
      <c r="Y72" s="141">
        <f t="shared" ref="Y72:Y125" si="87">Y73</f>
        <v>45569.73</v>
      </c>
      <c r="Z72" s="111"/>
      <c r="AA72" s="141">
        <f t="shared" ref="AA72:AA125" si="88">AA73</f>
        <v>56496.39</v>
      </c>
      <c r="AB72" s="111"/>
      <c r="AC72" s="142">
        <f>ROUND((Y72*Z72+AA72*AB72),2)</f>
        <v>0</v>
      </c>
      <c r="AD72" s="141">
        <f t="shared" ref="AD72:AD125" si="89">AD73</f>
        <v>54161.08</v>
      </c>
      <c r="AE72" s="114"/>
      <c r="AF72" s="141">
        <f t="shared" ref="AF72:AF125" si="90">AF73</f>
        <v>67273.070000000007</v>
      </c>
      <c r="AG72" s="114"/>
      <c r="AH72" s="141">
        <f t="shared" ref="AH72:AH125" si="91">AH73</f>
        <v>64113.51</v>
      </c>
      <c r="AI72" s="113"/>
      <c r="AJ72" s="142">
        <f>ROUND((AD72*AE72+AF72*AG72+AH72*AI72),2)</f>
        <v>0</v>
      </c>
      <c r="AK72" s="141">
        <f t="shared" ref="AK72:AK125" si="92">AK73</f>
        <v>29360.82</v>
      </c>
      <c r="AL72" s="113"/>
      <c r="AM72" s="141">
        <f t="shared" ref="AM72:AM125" si="93">AM73</f>
        <v>36645.26</v>
      </c>
      <c r="AN72" s="113"/>
      <c r="AO72" s="141">
        <f t="shared" ref="AO72:AO125" si="94">AO73</f>
        <v>34889.949999999997</v>
      </c>
      <c r="AP72" s="113"/>
      <c r="AQ72" s="142">
        <f>ROUND((AK72*AL72+AM72*AN72+AO72*AP72),2)</f>
        <v>0</v>
      </c>
      <c r="AR72" s="141">
        <f t="shared" ref="AR72:AR125" si="95">AR73</f>
        <v>35718.379999999997</v>
      </c>
      <c r="AS72" s="114"/>
      <c r="AT72" s="142">
        <f>ROUND((AR72*AS72),2)</f>
        <v>0</v>
      </c>
      <c r="AU72" s="143">
        <f>AT72+AQ72+AJ72+AC72+X72+Q72+J72</f>
        <v>2021683.26</v>
      </c>
      <c r="AV72" s="115"/>
      <c r="AW72" s="141">
        <f t="shared" ref="AW72:AW125" si="96">AW73</f>
        <v>65258.22</v>
      </c>
      <c r="AX72" s="113"/>
      <c r="AY72" s="141">
        <f t="shared" ref="AY72:AY125" si="97">AY73</f>
        <v>81192.94</v>
      </c>
      <c r="AZ72" s="113"/>
      <c r="BA72" s="141">
        <f t="shared" ref="BA72:BA125" si="98">BA73</f>
        <v>77353.2</v>
      </c>
      <c r="BB72" s="113"/>
      <c r="BC72" s="142">
        <f>ROUND((AW72*AX72+AY72*AZ72+BA72*BB72),2)</f>
        <v>0</v>
      </c>
      <c r="BD72" s="141">
        <f t="shared" ref="BD72:BD125" si="99">BD73</f>
        <v>77787.27</v>
      </c>
      <c r="BE72" s="111"/>
      <c r="BF72" s="141">
        <f t="shared" ref="BF72:BF125" si="100">BF73</f>
        <v>96908.93</v>
      </c>
      <c r="BG72" s="111"/>
      <c r="BH72" s="142">
        <f>ROUND((BD72*BE72+BF72*BG72),2)</f>
        <v>0</v>
      </c>
      <c r="BI72" s="144">
        <f>BH72+BC72</f>
        <v>0</v>
      </c>
      <c r="BJ72" s="141">
        <f t="shared" ref="BJ72:BJ125" si="101">BJ73</f>
        <v>25708.01</v>
      </c>
      <c r="BK72" s="111"/>
      <c r="BL72" s="141">
        <f t="shared" ref="BL72:BL125" si="102">BL73</f>
        <v>27763.9</v>
      </c>
      <c r="BM72" s="111"/>
      <c r="BN72" s="141">
        <f t="shared" ref="BN72:BN125" si="103">BN73</f>
        <v>23851.91</v>
      </c>
      <c r="BO72" s="111"/>
      <c r="BP72" s="142">
        <f>ROUND((BJ72*BK72+BL72*BM72+BN72*BO72),2)</f>
        <v>0</v>
      </c>
      <c r="BQ72" s="141">
        <f t="shared" ref="BQ72:BQ125" si="104">BQ73</f>
        <v>29360.82</v>
      </c>
      <c r="BR72" s="111"/>
      <c r="BS72" s="141">
        <f t="shared" ref="BS72:BS125" si="105">BS73</f>
        <v>36645.26</v>
      </c>
      <c r="BT72" s="111"/>
      <c r="BU72" s="141">
        <f t="shared" ref="BU72:BU125" si="106">BU73</f>
        <v>34889.949999999997</v>
      </c>
      <c r="BV72" s="111"/>
      <c r="BW72" s="142">
        <f>ROUND((BQ72*BR72+BS72*BT72+BU72*BV72),2)</f>
        <v>0</v>
      </c>
      <c r="BX72" s="222">
        <f>BV72+BT72+BR72+BO72+BM72+BK72+BG72+BE72+BB72+AZ72+AX72+AS72+AP72+AN72+AL72+AI72+AG72+AE72+AB72+Z72+W72+U72+S72+P72+N72+L72+I72+G72+E72</f>
        <v>57</v>
      </c>
      <c r="BY72" s="242"/>
      <c r="BZ72" s="242"/>
      <c r="CA72" s="243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3"/>
      <c r="CS72" s="243"/>
      <c r="CT72" s="243"/>
      <c r="CU72" s="243"/>
      <c r="CV72" s="243"/>
      <c r="CW72" s="243"/>
      <c r="CX72" s="243"/>
      <c r="CY72" s="243"/>
      <c r="CZ72" s="243"/>
      <c r="DA72" s="243"/>
      <c r="DB72" s="243"/>
    </row>
    <row r="73" spans="1:106" s="116" customFormat="1" ht="16.5">
      <c r="A73" s="118"/>
      <c r="B73" s="148" t="s">
        <v>454</v>
      </c>
      <c r="C73" s="149"/>
      <c r="D73" s="141">
        <f t="shared" si="78"/>
        <v>31250.82</v>
      </c>
      <c r="E73" s="114">
        <v>38</v>
      </c>
      <c r="F73" s="141">
        <f t="shared" si="79"/>
        <v>38535.26</v>
      </c>
      <c r="G73" s="114">
        <v>42</v>
      </c>
      <c r="H73" s="141">
        <f t="shared" si="80"/>
        <v>36779.949999999997</v>
      </c>
      <c r="I73" s="114"/>
      <c r="J73" s="142">
        <f>ROUND((D73*E73+F73*G73+H73*I73),2)</f>
        <v>2806012.08</v>
      </c>
      <c r="K73" s="141">
        <f t="shared" si="81"/>
        <v>35546.49</v>
      </c>
      <c r="L73" s="114">
        <f>L72+L71</f>
        <v>0</v>
      </c>
      <c r="M73" s="141">
        <f t="shared" si="82"/>
        <v>43923.6</v>
      </c>
      <c r="N73" s="114">
        <f>N72+N71</f>
        <v>0</v>
      </c>
      <c r="O73" s="141">
        <f t="shared" si="83"/>
        <v>41904.99</v>
      </c>
      <c r="P73" s="114">
        <f>P72+P71</f>
        <v>0</v>
      </c>
      <c r="Q73" s="142">
        <f>ROUND((K73*L73+M73*N73+O73*P73),2)</f>
        <v>0</v>
      </c>
      <c r="R73" s="141">
        <f t="shared" si="84"/>
        <v>41274.050000000003</v>
      </c>
      <c r="S73" s="114">
        <f>S72+S71</f>
        <v>0</v>
      </c>
      <c r="T73" s="141">
        <f t="shared" si="85"/>
        <v>51108.05</v>
      </c>
      <c r="U73" s="114">
        <f>U72+U71</f>
        <v>0</v>
      </c>
      <c r="V73" s="141">
        <f t="shared" si="86"/>
        <v>48738.38</v>
      </c>
      <c r="W73" s="114">
        <f>W72+W71</f>
        <v>0</v>
      </c>
      <c r="X73" s="142">
        <f>ROUND((R73*S73+T73*U73+V73*W73),2)</f>
        <v>0</v>
      </c>
      <c r="Y73" s="141">
        <f t="shared" si="87"/>
        <v>45569.73</v>
      </c>
      <c r="Z73" s="114">
        <f>Z72+Z71</f>
        <v>0</v>
      </c>
      <c r="AA73" s="141">
        <f t="shared" si="88"/>
        <v>56496.39</v>
      </c>
      <c r="AB73" s="114">
        <f>AB72+AB71</f>
        <v>0</v>
      </c>
      <c r="AC73" s="142">
        <f>ROUND((Y73*Z73+AA73*AB73),2)</f>
        <v>0</v>
      </c>
      <c r="AD73" s="141">
        <f t="shared" si="89"/>
        <v>54161.08</v>
      </c>
      <c r="AE73" s="114">
        <v>1</v>
      </c>
      <c r="AF73" s="141">
        <f t="shared" si="90"/>
        <v>67273.070000000007</v>
      </c>
      <c r="AG73" s="114"/>
      <c r="AH73" s="141">
        <f t="shared" si="91"/>
        <v>64113.51</v>
      </c>
      <c r="AI73" s="114"/>
      <c r="AJ73" s="142">
        <f>ROUND((AD73*AE73+AF73*AG73+AH73*AI73),2)</f>
        <v>54161.08</v>
      </c>
      <c r="AK73" s="141">
        <f t="shared" si="92"/>
        <v>29360.82</v>
      </c>
      <c r="AL73" s="114"/>
      <c r="AM73" s="141">
        <f t="shared" si="93"/>
        <v>36645.26</v>
      </c>
      <c r="AN73" s="114"/>
      <c r="AO73" s="141">
        <f t="shared" si="94"/>
        <v>34889.949999999997</v>
      </c>
      <c r="AP73" s="114"/>
      <c r="AQ73" s="142">
        <f>ROUND((AK73*AL73+AM73*AN73+AO73*AP73),2)</f>
        <v>0</v>
      </c>
      <c r="AR73" s="141">
        <f t="shared" si="95"/>
        <v>35718.379999999997</v>
      </c>
      <c r="AS73" s="114"/>
      <c r="AT73" s="142">
        <f>ROUND((AR73*AS73),2)</f>
        <v>0</v>
      </c>
      <c r="AU73" s="143">
        <f>AT73+AQ73+AJ73+AC73+X73+Q73+J73</f>
        <v>2860173.16</v>
      </c>
      <c r="AV73" s="114"/>
      <c r="AW73" s="141">
        <f t="shared" si="96"/>
        <v>65258.22</v>
      </c>
      <c r="AX73" s="114"/>
      <c r="AY73" s="141">
        <f t="shared" si="97"/>
        <v>81192.94</v>
      </c>
      <c r="AZ73" s="114"/>
      <c r="BA73" s="141">
        <f t="shared" si="98"/>
        <v>77353.2</v>
      </c>
      <c r="BB73" s="114"/>
      <c r="BC73" s="142">
        <f>ROUND((AW73*AX73+AY73*AZ73+BA73*BB73),2)</f>
        <v>0</v>
      </c>
      <c r="BD73" s="141">
        <f t="shared" si="99"/>
        <v>77787.27</v>
      </c>
      <c r="BE73" s="114"/>
      <c r="BF73" s="141">
        <f t="shared" si="100"/>
        <v>96908.93</v>
      </c>
      <c r="BG73" s="114"/>
      <c r="BH73" s="142">
        <f>ROUND((BD73*BE73+BF73*BG73),2)</f>
        <v>0</v>
      </c>
      <c r="BI73" s="144">
        <f>BH73+BC73</f>
        <v>0</v>
      </c>
      <c r="BJ73" s="141">
        <f t="shared" si="101"/>
        <v>25708.01</v>
      </c>
      <c r="BK73" s="114"/>
      <c r="BL73" s="141">
        <f t="shared" si="102"/>
        <v>27763.9</v>
      </c>
      <c r="BM73" s="114"/>
      <c r="BN73" s="141">
        <f t="shared" si="103"/>
        <v>23851.91</v>
      </c>
      <c r="BO73" s="114"/>
      <c r="BP73" s="142">
        <f>ROUND((BJ73*BK73+BL73*BM73+BN73*BO73),2)</f>
        <v>0</v>
      </c>
      <c r="BQ73" s="141">
        <f t="shared" si="104"/>
        <v>29360.82</v>
      </c>
      <c r="BR73" s="114">
        <f>BR72+BR71</f>
        <v>0</v>
      </c>
      <c r="BS73" s="141">
        <f t="shared" si="105"/>
        <v>36645.26</v>
      </c>
      <c r="BT73" s="114"/>
      <c r="BU73" s="141">
        <f t="shared" si="106"/>
        <v>34889.949999999997</v>
      </c>
      <c r="BV73" s="114"/>
      <c r="BW73" s="142">
        <f>ROUND((BQ73*BR73+BS73*BT73+BU73*BV73),2)</f>
        <v>0</v>
      </c>
      <c r="BX73" s="222">
        <f>BV73+BT73+BR73+BO73+BM73+BK73+BG73+BE73+BB73+AZ73+AX73+AS73+AP73+AN73+AL73+AI73+AG73+AE73+AB73+Z73+W73+U73+S73+P73+N73+L73+I73+G73+E73</f>
        <v>81</v>
      </c>
      <c r="BY73" s="242"/>
      <c r="BZ73" s="242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</row>
    <row r="74" spans="1:106" s="193" customFormat="1" ht="49.5">
      <c r="A74" s="173"/>
      <c r="B74" s="174" t="s">
        <v>455</v>
      </c>
      <c r="C74" s="224"/>
      <c r="D74" s="141">
        <f t="shared" si="78"/>
        <v>31250.82</v>
      </c>
      <c r="E74" s="244">
        <f>E71+E72+E73</f>
        <v>264</v>
      </c>
      <c r="F74" s="141">
        <f t="shared" si="79"/>
        <v>38535.26</v>
      </c>
      <c r="G74" s="244">
        <f>G71+G72+G73</f>
        <v>291</v>
      </c>
      <c r="H74" s="141">
        <f t="shared" si="80"/>
        <v>36779.949999999997</v>
      </c>
      <c r="I74" s="244">
        <f>I71+I72+I73</f>
        <v>36</v>
      </c>
      <c r="J74" s="208">
        <f>J71+J72+J73</f>
        <v>20788055.340000004</v>
      </c>
      <c r="K74" s="141">
        <f t="shared" si="81"/>
        <v>35546.49</v>
      </c>
      <c r="L74" s="208">
        <f>L71+L72+L73</f>
        <v>0</v>
      </c>
      <c r="M74" s="141">
        <f t="shared" si="82"/>
        <v>43923.6</v>
      </c>
      <c r="N74" s="208">
        <f>N71+N72+N73</f>
        <v>0</v>
      </c>
      <c r="O74" s="141">
        <f t="shared" si="83"/>
        <v>41904.99</v>
      </c>
      <c r="P74" s="208">
        <f>P71+P72+P73</f>
        <v>0</v>
      </c>
      <c r="Q74" s="208">
        <f>Q71+Q72+Q73</f>
        <v>0</v>
      </c>
      <c r="R74" s="141">
        <f t="shared" si="84"/>
        <v>41274.050000000003</v>
      </c>
      <c r="S74" s="208">
        <f>S71+S72+S73</f>
        <v>0</v>
      </c>
      <c r="T74" s="141">
        <f t="shared" si="85"/>
        <v>51108.05</v>
      </c>
      <c r="U74" s="208">
        <f>U71+U72+U73</f>
        <v>0</v>
      </c>
      <c r="V74" s="141">
        <f t="shared" si="86"/>
        <v>48738.38</v>
      </c>
      <c r="W74" s="208">
        <f>W71+W72+W73</f>
        <v>0</v>
      </c>
      <c r="X74" s="208">
        <f>X71+X72+X73</f>
        <v>0</v>
      </c>
      <c r="Y74" s="141">
        <f t="shared" si="87"/>
        <v>45569.73</v>
      </c>
      <c r="Z74" s="208">
        <f>Z71+Z72+Z73</f>
        <v>0</v>
      </c>
      <c r="AA74" s="141">
        <f t="shared" si="88"/>
        <v>56496.39</v>
      </c>
      <c r="AB74" s="208">
        <f>AB71+AB72+AB73</f>
        <v>0</v>
      </c>
      <c r="AC74" s="208">
        <f>AC71+AC72+AC73</f>
        <v>0</v>
      </c>
      <c r="AD74" s="141">
        <f t="shared" si="89"/>
        <v>54161.08</v>
      </c>
      <c r="AE74" s="244">
        <f>AE71+AE72+AE73</f>
        <v>3</v>
      </c>
      <c r="AF74" s="141">
        <f t="shared" si="90"/>
        <v>67273.070000000007</v>
      </c>
      <c r="AG74" s="244">
        <f>AG71+AG72+AG73</f>
        <v>2</v>
      </c>
      <c r="AH74" s="141">
        <f t="shared" si="91"/>
        <v>64113.51</v>
      </c>
      <c r="AI74" s="208">
        <f>AI71+AI72+AI73</f>
        <v>0</v>
      </c>
      <c r="AJ74" s="208">
        <f>AJ71+AJ72+AJ73</f>
        <v>297029.38</v>
      </c>
      <c r="AK74" s="141">
        <f t="shared" si="92"/>
        <v>29360.82</v>
      </c>
      <c r="AL74" s="208">
        <f>AL71+AL72+AL73</f>
        <v>0</v>
      </c>
      <c r="AM74" s="141">
        <f t="shared" si="93"/>
        <v>36645.26</v>
      </c>
      <c r="AN74" s="208">
        <f>AN71+AN72+AN73</f>
        <v>0</v>
      </c>
      <c r="AO74" s="141">
        <f t="shared" si="94"/>
        <v>34889.949999999997</v>
      </c>
      <c r="AP74" s="208">
        <f>AP71+AP72+AP73</f>
        <v>0</v>
      </c>
      <c r="AQ74" s="208">
        <f>AQ71+AQ72+AQ73</f>
        <v>0</v>
      </c>
      <c r="AR74" s="141">
        <f t="shared" si="95"/>
        <v>35718.379999999997</v>
      </c>
      <c r="AS74" s="208">
        <f>AS71+AS72+AS73</f>
        <v>0</v>
      </c>
      <c r="AT74" s="208">
        <f>AT71+AT72+AT73</f>
        <v>0</v>
      </c>
      <c r="AU74" s="407">
        <f>AU71+AU72+AU73</f>
        <v>21085084.720000003</v>
      </c>
      <c r="AV74" s="208">
        <f>'старое не смотреть'!D112</f>
        <v>27520524</v>
      </c>
      <c r="AW74" s="141">
        <f t="shared" si="96"/>
        <v>65258.22</v>
      </c>
      <c r="AX74" s="208">
        <f>AX71+AX72+AX73</f>
        <v>0</v>
      </c>
      <c r="AY74" s="141">
        <f t="shared" si="97"/>
        <v>81192.94</v>
      </c>
      <c r="AZ74" s="208">
        <f>AZ71+AZ72+AZ73</f>
        <v>0</v>
      </c>
      <c r="BA74" s="141">
        <f t="shared" si="98"/>
        <v>77353.2</v>
      </c>
      <c r="BB74" s="208">
        <f>BB71+BB72+BB73</f>
        <v>0</v>
      </c>
      <c r="BC74" s="208">
        <f>BC71+BC72+BC73</f>
        <v>0</v>
      </c>
      <c r="BD74" s="141">
        <f t="shared" si="99"/>
        <v>77787.27</v>
      </c>
      <c r="BE74" s="208">
        <f>BE71+BE72+BE73</f>
        <v>0</v>
      </c>
      <c r="BF74" s="141">
        <f t="shared" si="100"/>
        <v>96908.93</v>
      </c>
      <c r="BG74" s="208">
        <f>BG71+BG72+BG73</f>
        <v>0</v>
      </c>
      <c r="BH74" s="208">
        <f>BH71+BH72+BH73</f>
        <v>0</v>
      </c>
      <c r="BI74" s="208">
        <f>BI71+BI72+BI73</f>
        <v>0</v>
      </c>
      <c r="BJ74" s="141">
        <f t="shared" si="101"/>
        <v>25708.01</v>
      </c>
      <c r="BK74" s="208">
        <f>BK71+BK72+BK73</f>
        <v>0</v>
      </c>
      <c r="BL74" s="141">
        <f t="shared" si="102"/>
        <v>27763.9</v>
      </c>
      <c r="BM74" s="208">
        <f>BM71+BM72+BM73</f>
        <v>0</v>
      </c>
      <c r="BN74" s="141">
        <f t="shared" si="103"/>
        <v>23851.91</v>
      </c>
      <c r="BO74" s="208">
        <f>BO71+BO72+BO73</f>
        <v>0</v>
      </c>
      <c r="BP74" s="208">
        <f>BP71+BP72+BP73</f>
        <v>0</v>
      </c>
      <c r="BQ74" s="141">
        <f t="shared" si="104"/>
        <v>29360.82</v>
      </c>
      <c r="BR74" s="208">
        <f t="shared" ref="BR74:BX74" si="107">BR71+BR72+BR73</f>
        <v>0</v>
      </c>
      <c r="BS74" s="141">
        <f t="shared" si="105"/>
        <v>36645.26</v>
      </c>
      <c r="BT74" s="208">
        <f>BT71+BT72+BT73</f>
        <v>0</v>
      </c>
      <c r="BU74" s="141">
        <f t="shared" si="106"/>
        <v>34889.949999999997</v>
      </c>
      <c r="BV74" s="208">
        <f>BV71+BV72+BV73</f>
        <v>0</v>
      </c>
      <c r="BW74" s="208">
        <f t="shared" si="107"/>
        <v>0</v>
      </c>
      <c r="BX74" s="209">
        <f t="shared" si="107"/>
        <v>596</v>
      </c>
      <c r="BY74" s="192"/>
      <c r="BZ74" s="192"/>
    </row>
    <row r="75" spans="1:106" s="116" customFormat="1" ht="33">
      <c r="A75" s="245" t="s">
        <v>393</v>
      </c>
      <c r="B75" s="148" t="s">
        <v>456</v>
      </c>
      <c r="C75" s="149"/>
      <c r="D75" s="141">
        <f t="shared" si="78"/>
        <v>31250.82</v>
      </c>
      <c r="E75" s="114">
        <v>122</v>
      </c>
      <c r="F75" s="141">
        <f t="shared" si="79"/>
        <v>38535.26</v>
      </c>
      <c r="G75" s="114">
        <v>164</v>
      </c>
      <c r="H75" s="141">
        <f t="shared" si="80"/>
        <v>36779.949999999997</v>
      </c>
      <c r="I75" s="114">
        <v>16</v>
      </c>
      <c r="J75" s="142">
        <f>ROUND((D75*E75+F75*G75+H75*I75),2)</f>
        <v>10720861.880000001</v>
      </c>
      <c r="K75" s="141">
        <f t="shared" si="81"/>
        <v>35546.49</v>
      </c>
      <c r="L75" s="114"/>
      <c r="M75" s="141">
        <f t="shared" si="82"/>
        <v>43923.6</v>
      </c>
      <c r="N75" s="114"/>
      <c r="O75" s="141">
        <f t="shared" si="83"/>
        <v>41904.99</v>
      </c>
      <c r="P75" s="119"/>
      <c r="Q75" s="142">
        <f>ROUND((K75*L75+M75*N75+O75*P75),2)</f>
        <v>0</v>
      </c>
      <c r="R75" s="141">
        <f t="shared" si="84"/>
        <v>41274.050000000003</v>
      </c>
      <c r="S75" s="119"/>
      <c r="T75" s="141">
        <f t="shared" si="85"/>
        <v>51108.05</v>
      </c>
      <c r="U75" s="119"/>
      <c r="V75" s="141">
        <f t="shared" si="86"/>
        <v>48738.38</v>
      </c>
      <c r="W75" s="119"/>
      <c r="X75" s="142">
        <f>ROUND((R75*S75+T75*U75+V75*W75),2)</f>
        <v>0</v>
      </c>
      <c r="Y75" s="141">
        <f t="shared" si="87"/>
        <v>45569.73</v>
      </c>
      <c r="Z75" s="119"/>
      <c r="AA75" s="141">
        <f t="shared" si="88"/>
        <v>56496.39</v>
      </c>
      <c r="AB75" s="119"/>
      <c r="AC75" s="142">
        <f>ROUND((Y75*Z75+AA75*AB75),2)</f>
        <v>0</v>
      </c>
      <c r="AD75" s="141">
        <f t="shared" si="89"/>
        <v>54161.08</v>
      </c>
      <c r="AE75" s="114"/>
      <c r="AF75" s="141">
        <f t="shared" si="90"/>
        <v>67273.070000000007</v>
      </c>
      <c r="AG75" s="114"/>
      <c r="AH75" s="141">
        <f t="shared" si="91"/>
        <v>64113.51</v>
      </c>
      <c r="AI75" s="120"/>
      <c r="AJ75" s="142">
        <f>ROUND((AD75*AE75+AF75*AG75+AH75*AI75),2)</f>
        <v>0</v>
      </c>
      <c r="AK75" s="141">
        <f t="shared" si="92"/>
        <v>29360.82</v>
      </c>
      <c r="AL75" s="120"/>
      <c r="AM75" s="141">
        <f t="shared" si="93"/>
        <v>36645.26</v>
      </c>
      <c r="AN75" s="120"/>
      <c r="AO75" s="141">
        <f t="shared" si="94"/>
        <v>34889.949999999997</v>
      </c>
      <c r="AP75" s="120"/>
      <c r="AQ75" s="142">
        <f>ROUND((AK75*AL75+AM75*AN75+AO75*AP75),2)</f>
        <v>0</v>
      </c>
      <c r="AR75" s="141">
        <f t="shared" si="95"/>
        <v>35718.379999999997</v>
      </c>
      <c r="AS75" s="114"/>
      <c r="AT75" s="142">
        <f>ROUND((AR75*AS75),2)</f>
        <v>0</v>
      </c>
      <c r="AU75" s="143">
        <f>AT75+AQ75+AJ75+AC75+X75+Q75+J75</f>
        <v>10720861.880000001</v>
      </c>
      <c r="AV75" s="120"/>
      <c r="AW75" s="141">
        <f t="shared" si="96"/>
        <v>65258.22</v>
      </c>
      <c r="AX75" s="121"/>
      <c r="AY75" s="141">
        <f t="shared" si="97"/>
        <v>81192.94</v>
      </c>
      <c r="AZ75" s="121"/>
      <c r="BA75" s="141">
        <f t="shared" si="98"/>
        <v>77353.2</v>
      </c>
      <c r="BB75" s="119"/>
      <c r="BC75" s="142">
        <f>ROUND((AW75*AX75+AY75*AZ75+BA75*BB75),2)</f>
        <v>0</v>
      </c>
      <c r="BD75" s="141">
        <f t="shared" si="99"/>
        <v>77787.27</v>
      </c>
      <c r="BE75" s="119"/>
      <c r="BF75" s="141">
        <f t="shared" si="100"/>
        <v>96908.93</v>
      </c>
      <c r="BG75" s="119"/>
      <c r="BH75" s="142">
        <f>ROUND((BD75*BE75+BF75*BG75),2)</f>
        <v>0</v>
      </c>
      <c r="BI75" s="144">
        <f>BH75+BC75</f>
        <v>0</v>
      </c>
      <c r="BJ75" s="141">
        <f t="shared" si="101"/>
        <v>25708.01</v>
      </c>
      <c r="BK75" s="119"/>
      <c r="BL75" s="141">
        <f t="shared" si="102"/>
        <v>27763.9</v>
      </c>
      <c r="BM75" s="119">
        <v>3</v>
      </c>
      <c r="BN75" s="141">
        <f t="shared" si="103"/>
        <v>23851.91</v>
      </c>
      <c r="BO75" s="119">
        <v>3</v>
      </c>
      <c r="BP75" s="142">
        <f>ROUND((BJ75*BK75+BL75*BM75+BN75*BO75),2)</f>
        <v>154847.43</v>
      </c>
      <c r="BQ75" s="141">
        <f t="shared" si="104"/>
        <v>29360.82</v>
      </c>
      <c r="BR75" s="119"/>
      <c r="BS75" s="141">
        <f t="shared" si="105"/>
        <v>36645.26</v>
      </c>
      <c r="BT75" s="119"/>
      <c r="BU75" s="141">
        <f t="shared" si="106"/>
        <v>34889.949999999997</v>
      </c>
      <c r="BV75" s="119"/>
      <c r="BW75" s="142">
        <f>ROUND((BQ75*BR75+BS75*BT75+BU75*BV75),2)</f>
        <v>0</v>
      </c>
      <c r="BX75" s="222">
        <f>BV75+BT75+BR75+BO75+BM75+BK75+BG75+BE75+BB75+AZ75+AX75+AS75+AP75+AN75+AL75+AI75+AG75+AE75+AB75+Z75+W75+U75+S75+P75+N75+L75+I75+G75+E75</f>
        <v>308</v>
      </c>
      <c r="BY75" s="242"/>
      <c r="BZ75" s="242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</row>
    <row r="76" spans="1:106" s="116" customFormat="1" ht="16.5">
      <c r="A76" s="95"/>
      <c r="B76" s="148" t="s">
        <v>457</v>
      </c>
      <c r="C76" s="124"/>
      <c r="D76" s="141">
        <f t="shared" si="78"/>
        <v>31250.82</v>
      </c>
      <c r="E76" s="114">
        <v>4</v>
      </c>
      <c r="F76" s="141">
        <f t="shared" si="79"/>
        <v>38535.26</v>
      </c>
      <c r="G76" s="114">
        <v>10</v>
      </c>
      <c r="H76" s="141">
        <f t="shared" si="80"/>
        <v>36779.949999999997</v>
      </c>
      <c r="I76" s="114"/>
      <c r="J76" s="142">
        <f>ROUND((D76*E76+F76*G76+H76*I76),2)</f>
        <v>510355.88</v>
      </c>
      <c r="K76" s="141">
        <f t="shared" si="81"/>
        <v>35546.49</v>
      </c>
      <c r="L76" s="114"/>
      <c r="M76" s="141">
        <f t="shared" si="82"/>
        <v>43923.6</v>
      </c>
      <c r="N76" s="114"/>
      <c r="O76" s="141">
        <f t="shared" si="83"/>
        <v>41904.99</v>
      </c>
      <c r="P76" s="119"/>
      <c r="Q76" s="142">
        <f>ROUND((K76*L76+M76*N76+O76*P76),2)</f>
        <v>0</v>
      </c>
      <c r="R76" s="141">
        <f t="shared" si="84"/>
        <v>41274.050000000003</v>
      </c>
      <c r="S76" s="119"/>
      <c r="T76" s="141">
        <f t="shared" si="85"/>
        <v>51108.05</v>
      </c>
      <c r="U76" s="119"/>
      <c r="V76" s="141">
        <f t="shared" si="86"/>
        <v>48738.38</v>
      </c>
      <c r="W76" s="119"/>
      <c r="X76" s="142">
        <f>ROUND((R76*S76+T76*U76+V76*W76),2)</f>
        <v>0</v>
      </c>
      <c r="Y76" s="141">
        <f t="shared" si="87"/>
        <v>45569.73</v>
      </c>
      <c r="Z76" s="119"/>
      <c r="AA76" s="141">
        <f t="shared" si="88"/>
        <v>56496.39</v>
      </c>
      <c r="AB76" s="119"/>
      <c r="AC76" s="142">
        <f>ROUND((Y76*Z76+AA76*AB76),2)</f>
        <v>0</v>
      </c>
      <c r="AD76" s="141">
        <f t="shared" si="89"/>
        <v>54161.08</v>
      </c>
      <c r="AE76" s="114"/>
      <c r="AF76" s="141">
        <f t="shared" si="90"/>
        <v>67273.070000000007</v>
      </c>
      <c r="AG76" s="114"/>
      <c r="AH76" s="141">
        <f t="shared" si="91"/>
        <v>64113.51</v>
      </c>
      <c r="AI76" s="120"/>
      <c r="AJ76" s="142">
        <f>ROUND((AD76*AE76+AF76*AG76+AH76*AI76),2)</f>
        <v>0</v>
      </c>
      <c r="AK76" s="141">
        <f t="shared" si="92"/>
        <v>29360.82</v>
      </c>
      <c r="AL76" s="120"/>
      <c r="AM76" s="141">
        <f t="shared" si="93"/>
        <v>36645.26</v>
      </c>
      <c r="AN76" s="120"/>
      <c r="AO76" s="141">
        <f t="shared" si="94"/>
        <v>34889.949999999997</v>
      </c>
      <c r="AP76" s="120"/>
      <c r="AQ76" s="142">
        <f>ROUND((AK76*AL76+AM76*AN76+AO76*AP76),2)</f>
        <v>0</v>
      </c>
      <c r="AR76" s="141">
        <f t="shared" si="95"/>
        <v>35718.379999999997</v>
      </c>
      <c r="AS76" s="114"/>
      <c r="AT76" s="142">
        <f>ROUND((AR76*AS76),2)</f>
        <v>0</v>
      </c>
      <c r="AU76" s="143">
        <f>AT76+AQ76+AJ76+AC76+X76+Q76+J76</f>
        <v>510355.88</v>
      </c>
      <c r="AV76" s="120"/>
      <c r="AW76" s="141">
        <f t="shared" si="96"/>
        <v>65258.22</v>
      </c>
      <c r="AX76" s="121"/>
      <c r="AY76" s="141">
        <f t="shared" si="97"/>
        <v>81192.94</v>
      </c>
      <c r="AZ76" s="117"/>
      <c r="BA76" s="141">
        <f t="shared" si="98"/>
        <v>77353.2</v>
      </c>
      <c r="BB76" s="119"/>
      <c r="BC76" s="142">
        <f>ROUND((AW76*AX76+AY76*AZ76+BA76*BB76),2)</f>
        <v>0</v>
      </c>
      <c r="BD76" s="141">
        <f t="shared" si="99"/>
        <v>77787.27</v>
      </c>
      <c r="BE76" s="119"/>
      <c r="BF76" s="141">
        <f t="shared" si="100"/>
        <v>96908.93</v>
      </c>
      <c r="BG76" s="119"/>
      <c r="BH76" s="142">
        <f>ROUND((BD76*BE76+BF76*BG76),2)</f>
        <v>0</v>
      </c>
      <c r="BI76" s="144">
        <f>BH76+BC76</f>
        <v>0</v>
      </c>
      <c r="BJ76" s="141">
        <f t="shared" si="101"/>
        <v>25708.01</v>
      </c>
      <c r="BK76" s="119"/>
      <c r="BL76" s="141">
        <f t="shared" si="102"/>
        <v>27763.9</v>
      </c>
      <c r="BM76" s="119"/>
      <c r="BN76" s="141">
        <f t="shared" si="103"/>
        <v>23851.91</v>
      </c>
      <c r="BO76" s="119"/>
      <c r="BP76" s="142">
        <f>ROUND((BJ76*BK76+BL76*BM76+BN76*BO76),2)</f>
        <v>0</v>
      </c>
      <c r="BQ76" s="141">
        <f t="shared" si="104"/>
        <v>29360.82</v>
      </c>
      <c r="BR76" s="119"/>
      <c r="BS76" s="141">
        <f t="shared" si="105"/>
        <v>36645.26</v>
      </c>
      <c r="BT76" s="119"/>
      <c r="BU76" s="141">
        <f t="shared" si="106"/>
        <v>34889.949999999997</v>
      </c>
      <c r="BV76" s="119"/>
      <c r="BW76" s="142">
        <f>ROUND((BQ76*BR76+BS76*BT76+BU76*BV76),2)</f>
        <v>0</v>
      </c>
      <c r="BX76" s="222">
        <f>BV76+BT76+BR76+BO76+BM76+BK76+BG76+BE76+BB76+AZ76+AX76+AS76+AP76+AN76+AL76+AI76+AG76+AE76+AB76+Z76+W76+U76+S76+P76+N76+L76+I76+G76+E76</f>
        <v>14</v>
      </c>
      <c r="BY76" s="242"/>
      <c r="BZ76" s="242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</row>
    <row r="77" spans="1:106" s="193" customFormat="1" ht="49.5">
      <c r="A77" s="198"/>
      <c r="B77" s="174" t="s">
        <v>458</v>
      </c>
      <c r="C77" s="191"/>
      <c r="D77" s="141">
        <f t="shared" si="78"/>
        <v>31250.82</v>
      </c>
      <c r="E77" s="241">
        <f>E75+E76</f>
        <v>126</v>
      </c>
      <c r="F77" s="141">
        <f t="shared" si="79"/>
        <v>38535.26</v>
      </c>
      <c r="G77" s="241">
        <f>G75+G76</f>
        <v>174</v>
      </c>
      <c r="H77" s="141">
        <f t="shared" si="80"/>
        <v>36779.949999999997</v>
      </c>
      <c r="I77" s="241">
        <f>I75+I76</f>
        <v>16</v>
      </c>
      <c r="J77" s="208">
        <f>J75+J76</f>
        <v>11231217.760000002</v>
      </c>
      <c r="K77" s="141">
        <f t="shared" si="81"/>
        <v>35546.49</v>
      </c>
      <c r="L77" s="208">
        <f>L75+L76</f>
        <v>0</v>
      </c>
      <c r="M77" s="141">
        <f t="shared" si="82"/>
        <v>43923.6</v>
      </c>
      <c r="N77" s="208">
        <f>N75+N76</f>
        <v>0</v>
      </c>
      <c r="O77" s="141">
        <f t="shared" si="83"/>
        <v>41904.99</v>
      </c>
      <c r="P77" s="208">
        <f>P75+P76</f>
        <v>0</v>
      </c>
      <c r="Q77" s="208">
        <f>Q75+Q76</f>
        <v>0</v>
      </c>
      <c r="R77" s="141">
        <f t="shared" si="84"/>
        <v>41274.050000000003</v>
      </c>
      <c r="S77" s="208">
        <f>S75+S76</f>
        <v>0</v>
      </c>
      <c r="T77" s="141">
        <f t="shared" si="85"/>
        <v>51108.05</v>
      </c>
      <c r="U77" s="208">
        <f>U75+U76</f>
        <v>0</v>
      </c>
      <c r="V77" s="141">
        <f t="shared" si="86"/>
        <v>48738.38</v>
      </c>
      <c r="W77" s="208">
        <f>W75+W76</f>
        <v>0</v>
      </c>
      <c r="X77" s="208">
        <f>X75+X76</f>
        <v>0</v>
      </c>
      <c r="Y77" s="141">
        <f t="shared" si="87"/>
        <v>45569.73</v>
      </c>
      <c r="Z77" s="208">
        <f>Z75+Z76</f>
        <v>0</v>
      </c>
      <c r="AA77" s="141">
        <f t="shared" si="88"/>
        <v>56496.39</v>
      </c>
      <c r="AB77" s="208">
        <f>AB75+AB76</f>
        <v>0</v>
      </c>
      <c r="AC77" s="208">
        <f>AC75+AC76</f>
        <v>0</v>
      </c>
      <c r="AD77" s="141">
        <f t="shared" si="89"/>
        <v>54161.08</v>
      </c>
      <c r="AE77" s="241">
        <f>AE75+AE76</f>
        <v>0</v>
      </c>
      <c r="AF77" s="141">
        <f t="shared" si="90"/>
        <v>67273.070000000007</v>
      </c>
      <c r="AG77" s="241">
        <f>AG75+AG76</f>
        <v>0</v>
      </c>
      <c r="AH77" s="141">
        <f t="shared" si="91"/>
        <v>64113.51</v>
      </c>
      <c r="AI77" s="208">
        <f>AI75+AI76</f>
        <v>0</v>
      </c>
      <c r="AJ77" s="208">
        <f>AJ75+AJ76</f>
        <v>0</v>
      </c>
      <c r="AK77" s="141">
        <f t="shared" si="92"/>
        <v>29360.82</v>
      </c>
      <c r="AL77" s="208">
        <f>AL75+AL76</f>
        <v>0</v>
      </c>
      <c r="AM77" s="141">
        <f t="shared" si="93"/>
        <v>36645.26</v>
      </c>
      <c r="AN77" s="208">
        <f>AN75+AN76</f>
        <v>0</v>
      </c>
      <c r="AO77" s="141">
        <f t="shared" si="94"/>
        <v>34889.949999999997</v>
      </c>
      <c r="AP77" s="208">
        <f>AP75+AP76</f>
        <v>0</v>
      </c>
      <c r="AQ77" s="208">
        <f>AQ75+AQ76</f>
        <v>0</v>
      </c>
      <c r="AR77" s="141">
        <f t="shared" si="95"/>
        <v>35718.379999999997</v>
      </c>
      <c r="AS77" s="208">
        <f>AS75+AS76</f>
        <v>0</v>
      </c>
      <c r="AT77" s="208">
        <f>AT75+AT76</f>
        <v>0</v>
      </c>
      <c r="AU77" s="407">
        <f>AU75+AU76</f>
        <v>11231217.760000002</v>
      </c>
      <c r="AV77" s="208">
        <f>'старое не смотреть'!D113</f>
        <v>14240792</v>
      </c>
      <c r="AW77" s="141">
        <f t="shared" si="96"/>
        <v>65258.22</v>
      </c>
      <c r="AX77" s="208">
        <f>AX75+AX76</f>
        <v>0</v>
      </c>
      <c r="AY77" s="141">
        <f t="shared" si="97"/>
        <v>81192.94</v>
      </c>
      <c r="AZ77" s="208">
        <f>AZ75+AZ76</f>
        <v>0</v>
      </c>
      <c r="BA77" s="141">
        <f t="shared" si="98"/>
        <v>77353.2</v>
      </c>
      <c r="BB77" s="208">
        <f>BB75+BB76</f>
        <v>0</v>
      </c>
      <c r="BC77" s="208">
        <f>BC75+BC76</f>
        <v>0</v>
      </c>
      <c r="BD77" s="141">
        <f t="shared" si="99"/>
        <v>77787.27</v>
      </c>
      <c r="BE77" s="208">
        <f>BE75+BE76</f>
        <v>0</v>
      </c>
      <c r="BF77" s="141">
        <f t="shared" si="100"/>
        <v>96908.93</v>
      </c>
      <c r="BG77" s="208">
        <f>BG75+BG76</f>
        <v>0</v>
      </c>
      <c r="BH77" s="208">
        <f>BH75+BH76</f>
        <v>0</v>
      </c>
      <c r="BI77" s="208">
        <f>BI75+BI76</f>
        <v>0</v>
      </c>
      <c r="BJ77" s="141">
        <f t="shared" si="101"/>
        <v>25708.01</v>
      </c>
      <c r="BK77" s="208">
        <f>BK75+BK76</f>
        <v>0</v>
      </c>
      <c r="BL77" s="141">
        <f t="shared" si="102"/>
        <v>27763.9</v>
      </c>
      <c r="BM77" s="208">
        <f>BM75+BM76</f>
        <v>3</v>
      </c>
      <c r="BN77" s="141">
        <f t="shared" si="103"/>
        <v>23851.91</v>
      </c>
      <c r="BO77" s="208">
        <f>BO75+BO76</f>
        <v>3</v>
      </c>
      <c r="BP77" s="208">
        <f>BP75+BP76</f>
        <v>154847.43</v>
      </c>
      <c r="BQ77" s="141">
        <f t="shared" si="104"/>
        <v>29360.82</v>
      </c>
      <c r="BR77" s="208">
        <f t="shared" ref="BR77:BX77" si="108">BR75+BR76</f>
        <v>0</v>
      </c>
      <c r="BS77" s="141">
        <f t="shared" si="105"/>
        <v>36645.26</v>
      </c>
      <c r="BT77" s="208">
        <f>BT75+BT76</f>
        <v>0</v>
      </c>
      <c r="BU77" s="141">
        <f t="shared" si="106"/>
        <v>34889.949999999997</v>
      </c>
      <c r="BV77" s="208">
        <f>BV75+BV76</f>
        <v>0</v>
      </c>
      <c r="BW77" s="208">
        <f t="shared" si="108"/>
        <v>0</v>
      </c>
      <c r="BX77" s="209">
        <f t="shared" si="108"/>
        <v>322</v>
      </c>
      <c r="BY77" s="192"/>
      <c r="BZ77" s="192"/>
    </row>
    <row r="78" spans="1:106" s="116" customFormat="1" ht="16.5">
      <c r="A78" s="245" t="s">
        <v>396</v>
      </c>
      <c r="B78" s="123" t="s">
        <v>459</v>
      </c>
      <c r="C78" s="124" t="s">
        <v>410</v>
      </c>
      <c r="D78" s="141">
        <f t="shared" si="78"/>
        <v>31250.82</v>
      </c>
      <c r="E78" s="113">
        <v>235</v>
      </c>
      <c r="F78" s="141">
        <f t="shared" si="79"/>
        <v>38535.26</v>
      </c>
      <c r="G78" s="113">
        <v>268</v>
      </c>
      <c r="H78" s="141">
        <f t="shared" si="80"/>
        <v>36779.949999999997</v>
      </c>
      <c r="I78" s="113">
        <v>32</v>
      </c>
      <c r="J78" s="142">
        <f>ROUND((D78*E78+F78*G78+H78*I78),2)</f>
        <v>18848350.780000001</v>
      </c>
      <c r="K78" s="141">
        <f t="shared" si="81"/>
        <v>35546.49</v>
      </c>
      <c r="L78" s="113"/>
      <c r="M78" s="141">
        <f t="shared" si="82"/>
        <v>43923.6</v>
      </c>
      <c r="N78" s="113"/>
      <c r="O78" s="141">
        <f t="shared" si="83"/>
        <v>41904.99</v>
      </c>
      <c r="P78" s="113"/>
      <c r="Q78" s="142">
        <f>ROUND((K78*L78+M78*N78+O78*P78),2)</f>
        <v>0</v>
      </c>
      <c r="R78" s="141">
        <f t="shared" si="84"/>
        <v>41274.050000000003</v>
      </c>
      <c r="S78" s="111"/>
      <c r="T78" s="141">
        <f t="shared" si="85"/>
        <v>51108.05</v>
      </c>
      <c r="U78" s="111"/>
      <c r="V78" s="141">
        <f t="shared" si="86"/>
        <v>48738.38</v>
      </c>
      <c r="W78" s="111"/>
      <c r="X78" s="142">
        <f>ROUND((R78*S78+T78*U78+V78*W78),2)</f>
        <v>0</v>
      </c>
      <c r="Y78" s="141">
        <f t="shared" si="87"/>
        <v>45569.73</v>
      </c>
      <c r="Z78" s="111"/>
      <c r="AA78" s="141">
        <f t="shared" si="88"/>
        <v>56496.39</v>
      </c>
      <c r="AB78" s="111"/>
      <c r="AC78" s="142">
        <f>ROUND((Y78*Z78+AA78*AB78),2)</f>
        <v>0</v>
      </c>
      <c r="AD78" s="141">
        <f t="shared" si="89"/>
        <v>54161.08</v>
      </c>
      <c r="AE78" s="113">
        <v>2</v>
      </c>
      <c r="AF78" s="141">
        <f t="shared" si="90"/>
        <v>67273.070000000007</v>
      </c>
      <c r="AG78" s="113"/>
      <c r="AH78" s="141">
        <f t="shared" si="91"/>
        <v>64113.51</v>
      </c>
      <c r="AI78" s="113"/>
      <c r="AJ78" s="142">
        <f>ROUND((AD78*AE78+AF78*AG78+AH78*AI78),2)</f>
        <v>108322.16</v>
      </c>
      <c r="AK78" s="141">
        <f t="shared" si="92"/>
        <v>29360.82</v>
      </c>
      <c r="AL78" s="113"/>
      <c r="AM78" s="141">
        <f t="shared" si="93"/>
        <v>36645.26</v>
      </c>
      <c r="AN78" s="113"/>
      <c r="AO78" s="141">
        <f t="shared" si="94"/>
        <v>34889.949999999997</v>
      </c>
      <c r="AP78" s="113"/>
      <c r="AQ78" s="142">
        <f>ROUND((AK78*AL78+AM78*AN78+AO78*AP78),2)</f>
        <v>0</v>
      </c>
      <c r="AR78" s="141">
        <f t="shared" si="95"/>
        <v>35718.379999999997</v>
      </c>
      <c r="AS78" s="114"/>
      <c r="AT78" s="142">
        <f>ROUND((AR78*AS78),2)</f>
        <v>0</v>
      </c>
      <c r="AU78" s="143">
        <f>AT78+AQ78+AJ78+AC78+X78+Q78+J78</f>
        <v>18956672.940000001</v>
      </c>
      <c r="AV78" s="120"/>
      <c r="AW78" s="141">
        <f t="shared" si="96"/>
        <v>65258.22</v>
      </c>
      <c r="AX78" s="112"/>
      <c r="AY78" s="141">
        <f t="shared" si="97"/>
        <v>81192.94</v>
      </c>
      <c r="AZ78" s="112"/>
      <c r="BA78" s="141">
        <f t="shared" si="98"/>
        <v>77353.2</v>
      </c>
      <c r="BB78" s="112"/>
      <c r="BC78" s="142">
        <f>ROUND((AW78*AX78+AY78*AZ78+BA78*BB78),2)</f>
        <v>0</v>
      </c>
      <c r="BD78" s="141">
        <f t="shared" si="99"/>
        <v>77787.27</v>
      </c>
      <c r="BE78" s="111"/>
      <c r="BF78" s="141">
        <f t="shared" si="100"/>
        <v>96908.93</v>
      </c>
      <c r="BG78" s="111"/>
      <c r="BH78" s="142">
        <f>ROUND((BD78*BE78+BF78*BG78),2)</f>
        <v>0</v>
      </c>
      <c r="BI78" s="144">
        <f>BH78+BC78</f>
        <v>0</v>
      </c>
      <c r="BJ78" s="141">
        <f t="shared" si="101"/>
        <v>25708.01</v>
      </c>
      <c r="BK78" s="111"/>
      <c r="BL78" s="141">
        <f t="shared" si="102"/>
        <v>27763.9</v>
      </c>
      <c r="BM78" s="111"/>
      <c r="BN78" s="141">
        <f t="shared" si="103"/>
        <v>23851.91</v>
      </c>
      <c r="BO78" s="111"/>
      <c r="BP78" s="142">
        <f>ROUND((BJ78*BK78+BL78*BM78+BN78*BO78),2)</f>
        <v>0</v>
      </c>
      <c r="BQ78" s="141">
        <f t="shared" si="104"/>
        <v>29360.82</v>
      </c>
      <c r="BR78" s="111"/>
      <c r="BS78" s="141">
        <f t="shared" si="105"/>
        <v>36645.26</v>
      </c>
      <c r="BT78" s="111"/>
      <c r="BU78" s="141">
        <f t="shared" si="106"/>
        <v>34889.949999999997</v>
      </c>
      <c r="BV78" s="111"/>
      <c r="BW78" s="142">
        <f>ROUND((BQ78*BR78+BS78*BT78+BU78*BV78),2)</f>
        <v>0</v>
      </c>
      <c r="BX78" s="222">
        <f>BV78+BT78+BR78+BO78+BM78+BK78+BG78+BE78+BB78+AZ78+AX78+AS78+AP78+AN78+AL78+AI78+AG78+AE78+AB78+Z78+W78+U78+S78+P78+N78+L78+I78+G78+E78</f>
        <v>537</v>
      </c>
      <c r="BY78" s="242"/>
      <c r="BZ78" s="242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243"/>
      <c r="CU78" s="243"/>
      <c r="CV78" s="243"/>
      <c r="CW78" s="243"/>
      <c r="CX78" s="243"/>
      <c r="CY78" s="243"/>
      <c r="CZ78" s="243"/>
      <c r="DA78" s="243"/>
      <c r="DB78" s="243"/>
    </row>
    <row r="79" spans="1:106" s="116" customFormat="1" ht="16.5">
      <c r="A79" s="95"/>
      <c r="B79" s="123" t="s">
        <v>460</v>
      </c>
      <c r="C79" s="124"/>
      <c r="D79" s="141">
        <f t="shared" si="78"/>
        <v>31250.82</v>
      </c>
      <c r="E79" s="114">
        <v>25</v>
      </c>
      <c r="F79" s="141">
        <f t="shared" si="79"/>
        <v>38535.26</v>
      </c>
      <c r="G79" s="114">
        <v>23</v>
      </c>
      <c r="H79" s="141">
        <f t="shared" si="80"/>
        <v>36779.949999999997</v>
      </c>
      <c r="I79" s="114"/>
      <c r="J79" s="142">
        <f>ROUND((D79*E79+F79*G79+H79*I79),2)</f>
        <v>1667581.48</v>
      </c>
      <c r="K79" s="141">
        <f t="shared" si="81"/>
        <v>35546.49</v>
      </c>
      <c r="L79" s="113"/>
      <c r="M79" s="141">
        <f t="shared" si="82"/>
        <v>43923.6</v>
      </c>
      <c r="N79" s="113"/>
      <c r="O79" s="141">
        <f t="shared" si="83"/>
        <v>41904.99</v>
      </c>
      <c r="P79" s="113"/>
      <c r="Q79" s="142">
        <f>ROUND((K79*L79+M79*N79+O79*P79),2)</f>
        <v>0</v>
      </c>
      <c r="R79" s="141">
        <f t="shared" si="84"/>
        <v>41274.050000000003</v>
      </c>
      <c r="S79" s="111"/>
      <c r="T79" s="141">
        <f t="shared" si="85"/>
        <v>51108.05</v>
      </c>
      <c r="U79" s="111"/>
      <c r="V79" s="141">
        <f t="shared" si="86"/>
        <v>48738.38</v>
      </c>
      <c r="W79" s="111"/>
      <c r="X79" s="142">
        <f>ROUND((R79*S79+T79*U79+V79*W79),2)</f>
        <v>0</v>
      </c>
      <c r="Y79" s="141">
        <f t="shared" si="87"/>
        <v>45569.73</v>
      </c>
      <c r="Z79" s="111"/>
      <c r="AA79" s="141">
        <f t="shared" si="88"/>
        <v>56496.39</v>
      </c>
      <c r="AB79" s="111"/>
      <c r="AC79" s="142">
        <f>ROUND((Y79*Z79+AA79*AB79),2)</f>
        <v>0</v>
      </c>
      <c r="AD79" s="141">
        <f t="shared" si="89"/>
        <v>54161.08</v>
      </c>
      <c r="AE79" s="114"/>
      <c r="AF79" s="141">
        <f t="shared" si="90"/>
        <v>67273.070000000007</v>
      </c>
      <c r="AG79" s="114"/>
      <c r="AH79" s="141">
        <f t="shared" si="91"/>
        <v>64113.51</v>
      </c>
      <c r="AI79" s="113"/>
      <c r="AJ79" s="142">
        <f>ROUND((AD79*AE79+AF79*AG79+AH79*AI79),2)</f>
        <v>0</v>
      </c>
      <c r="AK79" s="141">
        <f t="shared" si="92"/>
        <v>29360.82</v>
      </c>
      <c r="AL79" s="113"/>
      <c r="AM79" s="141">
        <f t="shared" si="93"/>
        <v>36645.26</v>
      </c>
      <c r="AN79" s="113"/>
      <c r="AO79" s="141">
        <f t="shared" si="94"/>
        <v>34889.949999999997</v>
      </c>
      <c r="AP79" s="113"/>
      <c r="AQ79" s="142">
        <f>ROUND((AK79*AL79+AM79*AN79+AO79*AP79),2)</f>
        <v>0</v>
      </c>
      <c r="AR79" s="141">
        <f t="shared" si="95"/>
        <v>35718.379999999997</v>
      </c>
      <c r="AS79" s="114"/>
      <c r="AT79" s="142">
        <f>ROUND((AR79*AS79),2)</f>
        <v>0</v>
      </c>
      <c r="AU79" s="143">
        <f>AT79+AQ79+AJ79+AC79+X79+Q79+J79</f>
        <v>1667581.48</v>
      </c>
      <c r="AV79" s="120"/>
      <c r="AW79" s="141">
        <f t="shared" si="96"/>
        <v>65258.22</v>
      </c>
      <c r="AX79" s="112"/>
      <c r="AY79" s="141">
        <f t="shared" si="97"/>
        <v>81192.94</v>
      </c>
      <c r="AZ79" s="112"/>
      <c r="BA79" s="141">
        <f t="shared" si="98"/>
        <v>77353.2</v>
      </c>
      <c r="BB79" s="112"/>
      <c r="BC79" s="142">
        <f>ROUND((AW79*AX79+AY79*AZ79+BA79*BB79),2)</f>
        <v>0</v>
      </c>
      <c r="BD79" s="141">
        <f t="shared" si="99"/>
        <v>77787.27</v>
      </c>
      <c r="BE79" s="111"/>
      <c r="BF79" s="141">
        <f t="shared" si="100"/>
        <v>96908.93</v>
      </c>
      <c r="BG79" s="111"/>
      <c r="BH79" s="142">
        <f>ROUND((BD79*BE79+BF79*BG79),2)</f>
        <v>0</v>
      </c>
      <c r="BI79" s="144">
        <f>BH79+BC79</f>
        <v>0</v>
      </c>
      <c r="BJ79" s="141">
        <f t="shared" si="101"/>
        <v>25708.01</v>
      </c>
      <c r="BK79" s="111"/>
      <c r="BL79" s="141">
        <f t="shared" si="102"/>
        <v>27763.9</v>
      </c>
      <c r="BM79" s="111"/>
      <c r="BN79" s="141">
        <f t="shared" si="103"/>
        <v>23851.91</v>
      </c>
      <c r="BO79" s="119"/>
      <c r="BP79" s="142">
        <f>ROUND((BJ79*BK79+BL79*BM79+BN79*BO79),2)</f>
        <v>0</v>
      </c>
      <c r="BQ79" s="141">
        <f t="shared" si="104"/>
        <v>29360.82</v>
      </c>
      <c r="BR79" s="111"/>
      <c r="BS79" s="141">
        <f t="shared" si="105"/>
        <v>36645.26</v>
      </c>
      <c r="BT79" s="111"/>
      <c r="BU79" s="141">
        <f t="shared" si="106"/>
        <v>34889.949999999997</v>
      </c>
      <c r="BV79" s="119"/>
      <c r="BW79" s="142">
        <f>ROUND((BQ79*BR79+BS79*BT79+BU79*BV79),2)</f>
        <v>0</v>
      </c>
      <c r="BX79" s="222">
        <f>BV79+BT79+BR79+BO79+BM79+BK79+BG79+BE79+BB79+AZ79+AX79+AS79+AP79+AN79+AL79+AI79+AG79+AE79+AB79+Z79+W79+U79+S79+P79+N79+L79+I79+G79+E79</f>
        <v>48</v>
      </c>
      <c r="BY79" s="242"/>
      <c r="BZ79" s="242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3"/>
      <c r="CX79" s="243"/>
      <c r="CY79" s="243"/>
      <c r="CZ79" s="243"/>
      <c r="DA79" s="243"/>
      <c r="DB79" s="243"/>
    </row>
    <row r="80" spans="1:106" s="116" customFormat="1" ht="16.5">
      <c r="A80" s="95"/>
      <c r="B80" s="123"/>
      <c r="C80" s="124"/>
      <c r="D80" s="141">
        <f t="shared" si="78"/>
        <v>31250.82</v>
      </c>
      <c r="E80" s="113"/>
      <c r="F80" s="141">
        <f t="shared" si="79"/>
        <v>38535.26</v>
      </c>
      <c r="G80" s="113"/>
      <c r="H80" s="141">
        <f t="shared" si="80"/>
        <v>36779.949999999997</v>
      </c>
      <c r="I80" s="113"/>
      <c r="J80" s="142">
        <f>ROUND((D80*E80+F80*G80+H80*I80),2)</f>
        <v>0</v>
      </c>
      <c r="K80" s="141">
        <f t="shared" si="81"/>
        <v>35546.49</v>
      </c>
      <c r="L80" s="113"/>
      <c r="M80" s="141">
        <f t="shared" si="82"/>
        <v>43923.6</v>
      </c>
      <c r="N80" s="113"/>
      <c r="O80" s="141">
        <f t="shared" si="83"/>
        <v>41904.99</v>
      </c>
      <c r="P80" s="113"/>
      <c r="Q80" s="142">
        <f>ROUND((K80*L80+M80*N80+O80*P80),2)</f>
        <v>0</v>
      </c>
      <c r="R80" s="141">
        <f t="shared" si="84"/>
        <v>41274.050000000003</v>
      </c>
      <c r="S80" s="111"/>
      <c r="T80" s="141">
        <f t="shared" si="85"/>
        <v>51108.05</v>
      </c>
      <c r="U80" s="111"/>
      <c r="V80" s="141">
        <f t="shared" si="86"/>
        <v>48738.38</v>
      </c>
      <c r="W80" s="111"/>
      <c r="X80" s="142">
        <f>ROUND((R80*S80+T80*U80+V80*W80),2)</f>
        <v>0</v>
      </c>
      <c r="Y80" s="141">
        <f t="shared" si="87"/>
        <v>45569.73</v>
      </c>
      <c r="Z80" s="111"/>
      <c r="AA80" s="141">
        <f t="shared" si="88"/>
        <v>56496.39</v>
      </c>
      <c r="AB80" s="111"/>
      <c r="AC80" s="142">
        <f>ROUND((Y80*Z80+AA80*AB80),2)</f>
        <v>0</v>
      </c>
      <c r="AD80" s="141">
        <f t="shared" si="89"/>
        <v>54161.08</v>
      </c>
      <c r="AE80" s="113"/>
      <c r="AF80" s="141">
        <f t="shared" si="90"/>
        <v>67273.070000000007</v>
      </c>
      <c r="AG80" s="113"/>
      <c r="AH80" s="141">
        <f t="shared" si="91"/>
        <v>64113.51</v>
      </c>
      <c r="AI80" s="113"/>
      <c r="AJ80" s="142">
        <f>ROUND((AD80*AE80+AF80*AG80+AH80*AI80),2)</f>
        <v>0</v>
      </c>
      <c r="AK80" s="141">
        <f t="shared" si="92"/>
        <v>29360.82</v>
      </c>
      <c r="AL80" s="113"/>
      <c r="AM80" s="141">
        <f t="shared" si="93"/>
        <v>36645.26</v>
      </c>
      <c r="AN80" s="113"/>
      <c r="AO80" s="141">
        <f t="shared" si="94"/>
        <v>34889.949999999997</v>
      </c>
      <c r="AP80" s="113"/>
      <c r="AQ80" s="142">
        <f>ROUND((AK80*AL80+AM80*AN80+AO80*AP80),2)</f>
        <v>0</v>
      </c>
      <c r="AR80" s="141">
        <f t="shared" si="95"/>
        <v>35718.379999999997</v>
      </c>
      <c r="AS80" s="114"/>
      <c r="AT80" s="142">
        <f>ROUND((AR80*AS80),2)</f>
        <v>0</v>
      </c>
      <c r="AU80" s="143">
        <f>AT80+AQ80+AJ80+AC80+X80+Q80+J80</f>
        <v>0</v>
      </c>
      <c r="AV80" s="115"/>
      <c r="AW80" s="141">
        <f t="shared" si="96"/>
        <v>65258.22</v>
      </c>
      <c r="AX80" s="113"/>
      <c r="AY80" s="141">
        <f t="shared" si="97"/>
        <v>81192.94</v>
      </c>
      <c r="AZ80" s="113"/>
      <c r="BA80" s="141">
        <f t="shared" si="98"/>
        <v>77353.2</v>
      </c>
      <c r="BB80" s="113"/>
      <c r="BC80" s="142">
        <f>ROUND((AW80*AX80+AY80*AZ80+BA80*BB80),2)</f>
        <v>0</v>
      </c>
      <c r="BD80" s="141">
        <f t="shared" si="99"/>
        <v>77787.27</v>
      </c>
      <c r="BE80" s="111"/>
      <c r="BF80" s="141">
        <f t="shared" si="100"/>
        <v>96908.93</v>
      </c>
      <c r="BG80" s="111"/>
      <c r="BH80" s="142">
        <f>ROUND((BD80*BE80+BF80*BG80),2)</f>
        <v>0</v>
      </c>
      <c r="BI80" s="144">
        <f>BH80+BC80</f>
        <v>0</v>
      </c>
      <c r="BJ80" s="141">
        <f t="shared" si="101"/>
        <v>25708.01</v>
      </c>
      <c r="BK80" s="111"/>
      <c r="BL80" s="141">
        <f t="shared" si="102"/>
        <v>27763.9</v>
      </c>
      <c r="BM80" s="111"/>
      <c r="BN80" s="141">
        <f t="shared" si="103"/>
        <v>23851.91</v>
      </c>
      <c r="BO80" s="111"/>
      <c r="BP80" s="142">
        <f>ROUND((BJ80*BK80+BL80*BM80+BN80*BO80),2)</f>
        <v>0</v>
      </c>
      <c r="BQ80" s="141">
        <f t="shared" si="104"/>
        <v>29360.82</v>
      </c>
      <c r="BR80" s="111"/>
      <c r="BS80" s="141">
        <f t="shared" si="105"/>
        <v>36645.26</v>
      </c>
      <c r="BT80" s="111"/>
      <c r="BU80" s="141">
        <f t="shared" si="106"/>
        <v>34889.949999999997</v>
      </c>
      <c r="BV80" s="111"/>
      <c r="BW80" s="142">
        <f>ROUND((BQ80*BR80+BS80*BT80+BU80*BV80),2)</f>
        <v>0</v>
      </c>
      <c r="BX80" s="222">
        <f>BV80+BT80+BR80+BO80+BM80+BK80+BG80+BE80+BB80+AZ80+AX80+AS80+AP80+AN80+AL80+AI80+AG80+AE80+AB80+Z80+W80+U80+S80+P80+N80+L80+I80+G80+E80</f>
        <v>0</v>
      </c>
      <c r="BY80" s="242"/>
      <c r="BZ80" s="242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3"/>
      <c r="CX80" s="243"/>
      <c r="CY80" s="243"/>
      <c r="CZ80" s="243"/>
      <c r="DA80" s="243"/>
      <c r="DB80" s="243"/>
    </row>
    <row r="81" spans="1:79" s="193" customFormat="1" ht="16.5">
      <c r="A81" s="198"/>
      <c r="B81" s="246" t="s">
        <v>461</v>
      </c>
      <c r="C81" s="191"/>
      <c r="D81" s="141">
        <f t="shared" si="78"/>
        <v>31250.82</v>
      </c>
      <c r="E81" s="244">
        <f>E78+E79</f>
        <v>260</v>
      </c>
      <c r="F81" s="141">
        <f t="shared" si="79"/>
        <v>38535.26</v>
      </c>
      <c r="G81" s="244">
        <f>G78+G79</f>
        <v>291</v>
      </c>
      <c r="H81" s="141">
        <f t="shared" si="80"/>
        <v>36779.949999999997</v>
      </c>
      <c r="I81" s="244">
        <f>I78+I79</f>
        <v>32</v>
      </c>
      <c r="J81" s="208">
        <f>J78+J79</f>
        <v>20515932.260000002</v>
      </c>
      <c r="K81" s="141">
        <f t="shared" si="81"/>
        <v>35546.49</v>
      </c>
      <c r="L81" s="208">
        <f>L78+L79</f>
        <v>0</v>
      </c>
      <c r="M81" s="141">
        <f t="shared" si="82"/>
        <v>43923.6</v>
      </c>
      <c r="N81" s="208">
        <f>N78+N79</f>
        <v>0</v>
      </c>
      <c r="O81" s="141">
        <f t="shared" si="83"/>
        <v>41904.99</v>
      </c>
      <c r="P81" s="208">
        <f>P78+P79</f>
        <v>0</v>
      </c>
      <c r="Q81" s="208">
        <f>Q78+Q79</f>
        <v>0</v>
      </c>
      <c r="R81" s="141">
        <f t="shared" si="84"/>
        <v>41274.050000000003</v>
      </c>
      <c r="S81" s="208">
        <f>S78+S79</f>
        <v>0</v>
      </c>
      <c r="T81" s="141">
        <f t="shared" si="85"/>
        <v>51108.05</v>
      </c>
      <c r="U81" s="208">
        <f>U78+U79</f>
        <v>0</v>
      </c>
      <c r="V81" s="141">
        <f t="shared" si="86"/>
        <v>48738.38</v>
      </c>
      <c r="W81" s="208">
        <f>W78+W79</f>
        <v>0</v>
      </c>
      <c r="X81" s="208">
        <f>X78+X79</f>
        <v>0</v>
      </c>
      <c r="Y81" s="141">
        <f t="shared" si="87"/>
        <v>45569.73</v>
      </c>
      <c r="Z81" s="208">
        <f>Z78+Z79</f>
        <v>0</v>
      </c>
      <c r="AA81" s="141">
        <f t="shared" si="88"/>
        <v>56496.39</v>
      </c>
      <c r="AB81" s="208">
        <f>AB78+AB79</f>
        <v>0</v>
      </c>
      <c r="AC81" s="208">
        <f>AC78+AC79</f>
        <v>0</v>
      </c>
      <c r="AD81" s="141">
        <f t="shared" si="89"/>
        <v>54161.08</v>
      </c>
      <c r="AE81" s="244">
        <f>AE78+AE79</f>
        <v>2</v>
      </c>
      <c r="AF81" s="141">
        <f t="shared" si="90"/>
        <v>67273.070000000007</v>
      </c>
      <c r="AG81" s="244">
        <f>AG78+AG79</f>
        <v>0</v>
      </c>
      <c r="AH81" s="141">
        <f t="shared" si="91"/>
        <v>64113.51</v>
      </c>
      <c r="AI81" s="208">
        <f>AI78+AI79</f>
        <v>0</v>
      </c>
      <c r="AJ81" s="208">
        <f>AJ78+AJ79</f>
        <v>108322.16</v>
      </c>
      <c r="AK81" s="141">
        <f t="shared" si="92"/>
        <v>29360.82</v>
      </c>
      <c r="AL81" s="208">
        <f>AL78+AL79</f>
        <v>0</v>
      </c>
      <c r="AM81" s="141">
        <f t="shared" si="93"/>
        <v>36645.26</v>
      </c>
      <c r="AN81" s="208">
        <f>AN78+AN79</f>
        <v>0</v>
      </c>
      <c r="AO81" s="141">
        <f t="shared" si="94"/>
        <v>34889.949999999997</v>
      </c>
      <c r="AP81" s="208">
        <f>AP78+AP79</f>
        <v>0</v>
      </c>
      <c r="AQ81" s="208">
        <f>AQ78+AQ79</f>
        <v>0</v>
      </c>
      <c r="AR81" s="141">
        <f t="shared" si="95"/>
        <v>35718.379999999997</v>
      </c>
      <c r="AS81" s="208">
        <f>AS78+AS79</f>
        <v>0</v>
      </c>
      <c r="AT81" s="208">
        <f>AT78+AT79</f>
        <v>0</v>
      </c>
      <c r="AU81" s="407">
        <f>AU78+AU79</f>
        <v>20624254.420000002</v>
      </c>
      <c r="AV81" s="208">
        <f>'старое не смотреть'!D114</f>
        <v>25908442</v>
      </c>
      <c r="AW81" s="141">
        <f t="shared" si="96"/>
        <v>65258.22</v>
      </c>
      <c r="AX81" s="208">
        <f>AX78+AX79</f>
        <v>0</v>
      </c>
      <c r="AY81" s="141">
        <f t="shared" si="97"/>
        <v>81192.94</v>
      </c>
      <c r="AZ81" s="208">
        <f>AZ78+AZ79</f>
        <v>0</v>
      </c>
      <c r="BA81" s="141">
        <f t="shared" si="98"/>
        <v>77353.2</v>
      </c>
      <c r="BB81" s="208">
        <f>BB78+BB79</f>
        <v>0</v>
      </c>
      <c r="BC81" s="208">
        <f>BC78+BC79</f>
        <v>0</v>
      </c>
      <c r="BD81" s="141">
        <f t="shared" si="99"/>
        <v>77787.27</v>
      </c>
      <c r="BE81" s="208">
        <f>BE78+BE79</f>
        <v>0</v>
      </c>
      <c r="BF81" s="141">
        <f t="shared" si="100"/>
        <v>96908.93</v>
      </c>
      <c r="BG81" s="208">
        <f>BG78+BG79</f>
        <v>0</v>
      </c>
      <c r="BH81" s="208">
        <f>BH78+BH79</f>
        <v>0</v>
      </c>
      <c r="BI81" s="208">
        <f>BI78+BI79</f>
        <v>0</v>
      </c>
      <c r="BJ81" s="141">
        <f t="shared" si="101"/>
        <v>25708.01</v>
      </c>
      <c r="BK81" s="208">
        <f>BK78+BK79</f>
        <v>0</v>
      </c>
      <c r="BL81" s="141">
        <f t="shared" si="102"/>
        <v>27763.9</v>
      </c>
      <c r="BM81" s="208">
        <f>BM78+BM79</f>
        <v>0</v>
      </c>
      <c r="BN81" s="141">
        <f t="shared" si="103"/>
        <v>23851.91</v>
      </c>
      <c r="BO81" s="208">
        <f>BO78+BO79</f>
        <v>0</v>
      </c>
      <c r="BP81" s="208">
        <f>BP78+BP79</f>
        <v>0</v>
      </c>
      <c r="BQ81" s="141">
        <f t="shared" si="104"/>
        <v>29360.82</v>
      </c>
      <c r="BR81" s="208">
        <f t="shared" ref="BR81:BX81" si="109">BR78+BR79</f>
        <v>0</v>
      </c>
      <c r="BS81" s="141">
        <f t="shared" si="105"/>
        <v>36645.26</v>
      </c>
      <c r="BT81" s="208">
        <f>BT78+BT79</f>
        <v>0</v>
      </c>
      <c r="BU81" s="141">
        <f t="shared" si="106"/>
        <v>34889.949999999997</v>
      </c>
      <c r="BV81" s="208">
        <f>BV78+BV79</f>
        <v>0</v>
      </c>
      <c r="BW81" s="208">
        <f t="shared" si="109"/>
        <v>0</v>
      </c>
      <c r="BX81" s="209">
        <f t="shared" si="109"/>
        <v>585</v>
      </c>
      <c r="BY81" s="192"/>
      <c r="BZ81" s="192"/>
    </row>
    <row r="82" spans="1:79" s="168" customFormat="1" ht="17.25" thickBot="1">
      <c r="A82" s="194"/>
      <c r="B82" s="195" t="s">
        <v>401</v>
      </c>
      <c r="C82" s="195"/>
      <c r="D82" s="141">
        <f t="shared" si="78"/>
        <v>31250.82</v>
      </c>
      <c r="E82" s="210">
        <f>E70+E74+E77+E81</f>
        <v>987</v>
      </c>
      <c r="F82" s="141">
        <f t="shared" si="79"/>
        <v>38535.26</v>
      </c>
      <c r="G82" s="210">
        <f t="shared" ref="G82:BO82" si="110">G70+G74+G77+G81</f>
        <v>1087</v>
      </c>
      <c r="H82" s="141">
        <f t="shared" si="80"/>
        <v>36779.949999999997</v>
      </c>
      <c r="I82" s="210">
        <f t="shared" si="110"/>
        <v>132</v>
      </c>
      <c r="J82" s="210">
        <f t="shared" si="110"/>
        <v>77587340.360000014</v>
      </c>
      <c r="K82" s="141">
        <f t="shared" si="81"/>
        <v>35546.49</v>
      </c>
      <c r="L82" s="210">
        <f t="shared" si="110"/>
        <v>0</v>
      </c>
      <c r="M82" s="141">
        <f t="shared" si="82"/>
        <v>43923.6</v>
      </c>
      <c r="N82" s="210">
        <f t="shared" si="110"/>
        <v>0</v>
      </c>
      <c r="O82" s="141">
        <f t="shared" si="83"/>
        <v>41904.99</v>
      </c>
      <c r="P82" s="210">
        <f t="shared" si="110"/>
        <v>0</v>
      </c>
      <c r="Q82" s="210">
        <f>Q70+Q74+Q77+Q81</f>
        <v>0</v>
      </c>
      <c r="R82" s="141">
        <f t="shared" si="84"/>
        <v>41274.050000000003</v>
      </c>
      <c r="S82" s="210">
        <f t="shared" si="110"/>
        <v>0</v>
      </c>
      <c r="T82" s="141">
        <f t="shared" si="85"/>
        <v>51108.05</v>
      </c>
      <c r="U82" s="210">
        <f t="shared" si="110"/>
        <v>0</v>
      </c>
      <c r="V82" s="141">
        <f t="shared" si="86"/>
        <v>48738.38</v>
      </c>
      <c r="W82" s="210">
        <f t="shared" si="110"/>
        <v>0</v>
      </c>
      <c r="X82" s="210">
        <f>X70+X74+X77+X81</f>
        <v>0</v>
      </c>
      <c r="Y82" s="141">
        <f t="shared" si="87"/>
        <v>45569.73</v>
      </c>
      <c r="Z82" s="210">
        <f t="shared" si="110"/>
        <v>0</v>
      </c>
      <c r="AA82" s="141">
        <f t="shared" si="88"/>
        <v>56496.39</v>
      </c>
      <c r="AB82" s="210">
        <f t="shared" si="110"/>
        <v>0</v>
      </c>
      <c r="AC82" s="210">
        <f t="shared" si="110"/>
        <v>0</v>
      </c>
      <c r="AD82" s="141">
        <f t="shared" si="89"/>
        <v>54161.08</v>
      </c>
      <c r="AE82" s="210">
        <f t="shared" si="110"/>
        <v>8</v>
      </c>
      <c r="AF82" s="141">
        <f t="shared" si="90"/>
        <v>67273.070000000007</v>
      </c>
      <c r="AG82" s="210">
        <f t="shared" si="110"/>
        <v>5</v>
      </c>
      <c r="AH82" s="141">
        <f t="shared" si="91"/>
        <v>64113.51</v>
      </c>
      <c r="AI82" s="210">
        <f t="shared" si="110"/>
        <v>0</v>
      </c>
      <c r="AJ82" s="210">
        <f>AJ70+AJ74+AJ77+AJ81</f>
        <v>769653.99000000011</v>
      </c>
      <c r="AK82" s="141">
        <f t="shared" si="92"/>
        <v>29360.82</v>
      </c>
      <c r="AL82" s="210">
        <f t="shared" si="110"/>
        <v>0</v>
      </c>
      <c r="AM82" s="141">
        <f t="shared" si="93"/>
        <v>36645.26</v>
      </c>
      <c r="AN82" s="210">
        <f t="shared" si="110"/>
        <v>0</v>
      </c>
      <c r="AO82" s="141">
        <f t="shared" si="94"/>
        <v>34889.949999999997</v>
      </c>
      <c r="AP82" s="210">
        <f t="shared" si="110"/>
        <v>0</v>
      </c>
      <c r="AQ82" s="210">
        <f>AQ70+AQ74+AQ77+AQ81</f>
        <v>0</v>
      </c>
      <c r="AR82" s="141">
        <f t="shared" si="95"/>
        <v>35718.379999999997</v>
      </c>
      <c r="AS82" s="210">
        <f t="shared" si="110"/>
        <v>0</v>
      </c>
      <c r="AT82" s="210">
        <f t="shared" si="110"/>
        <v>0</v>
      </c>
      <c r="AU82" s="857">
        <f t="shared" si="110"/>
        <v>78356994.350000009</v>
      </c>
      <c r="AV82" s="210">
        <f>AV81+AV77+AV74+AV70-BP82</f>
        <v>104837628.36999999</v>
      </c>
      <c r="AW82" s="141">
        <f t="shared" si="96"/>
        <v>65258.22</v>
      </c>
      <c r="AX82" s="210">
        <f t="shared" si="110"/>
        <v>0</v>
      </c>
      <c r="AY82" s="141">
        <f t="shared" si="97"/>
        <v>81192.94</v>
      </c>
      <c r="AZ82" s="210">
        <f t="shared" si="110"/>
        <v>0</v>
      </c>
      <c r="BA82" s="141">
        <f t="shared" si="98"/>
        <v>77353.2</v>
      </c>
      <c r="BB82" s="210">
        <f t="shared" si="110"/>
        <v>0</v>
      </c>
      <c r="BC82" s="210">
        <f>BC70+BC74+BC77+BC81</f>
        <v>0</v>
      </c>
      <c r="BD82" s="141">
        <f t="shared" si="99"/>
        <v>77787.27</v>
      </c>
      <c r="BE82" s="210">
        <f t="shared" si="110"/>
        <v>0</v>
      </c>
      <c r="BF82" s="141">
        <f t="shared" si="100"/>
        <v>96908.93</v>
      </c>
      <c r="BG82" s="210">
        <f t="shared" si="110"/>
        <v>0</v>
      </c>
      <c r="BH82" s="210">
        <f t="shared" si="110"/>
        <v>0</v>
      </c>
      <c r="BI82" s="210">
        <f t="shared" si="110"/>
        <v>0</v>
      </c>
      <c r="BJ82" s="141">
        <f t="shared" si="101"/>
        <v>25708.01</v>
      </c>
      <c r="BK82" s="210">
        <f t="shared" si="110"/>
        <v>0</v>
      </c>
      <c r="BL82" s="141">
        <f t="shared" si="102"/>
        <v>27763.9</v>
      </c>
      <c r="BM82" s="210">
        <f t="shared" si="110"/>
        <v>3</v>
      </c>
      <c r="BN82" s="141">
        <f t="shared" si="103"/>
        <v>23851.91</v>
      </c>
      <c r="BO82" s="210">
        <f t="shared" si="110"/>
        <v>3</v>
      </c>
      <c r="BP82" s="210">
        <f>BP70+BP74+BP77+BP81</f>
        <v>154847.43</v>
      </c>
      <c r="BQ82" s="141">
        <f t="shared" si="104"/>
        <v>29360.82</v>
      </c>
      <c r="BR82" s="210">
        <f t="shared" ref="BR82:BX82" si="111">BR70+BR74+BR77+BR81</f>
        <v>0</v>
      </c>
      <c r="BS82" s="141">
        <f t="shared" si="105"/>
        <v>36645.26</v>
      </c>
      <c r="BT82" s="210">
        <f t="shared" si="111"/>
        <v>0</v>
      </c>
      <c r="BU82" s="141">
        <f t="shared" si="106"/>
        <v>34889.949999999997</v>
      </c>
      <c r="BV82" s="210">
        <f t="shared" si="111"/>
        <v>0</v>
      </c>
      <c r="BW82" s="210">
        <f t="shared" si="111"/>
        <v>0</v>
      </c>
      <c r="BX82" s="211">
        <f t="shared" si="111"/>
        <v>2225</v>
      </c>
      <c r="BY82" s="167"/>
      <c r="BZ82" s="167"/>
    </row>
    <row r="83" spans="1:79" ht="17.45" customHeight="1">
      <c r="A83" s="1649" t="s">
        <v>97</v>
      </c>
      <c r="B83" s="1650"/>
      <c r="C83" s="1651"/>
      <c r="D83" s="709">
        <f t="shared" si="78"/>
        <v>31250.82</v>
      </c>
      <c r="F83" s="709">
        <f t="shared" si="79"/>
        <v>38535.26</v>
      </c>
      <c r="H83" s="709">
        <f t="shared" si="80"/>
        <v>36779.949999999997</v>
      </c>
      <c r="K83" s="709">
        <f t="shared" si="81"/>
        <v>35546.49</v>
      </c>
      <c r="M83" s="709">
        <f t="shared" si="82"/>
        <v>43923.6</v>
      </c>
      <c r="O83" s="709">
        <f t="shared" si="83"/>
        <v>41904.99</v>
      </c>
      <c r="R83" s="709">
        <f t="shared" si="84"/>
        <v>41274.050000000003</v>
      </c>
      <c r="T83" s="709">
        <f t="shared" si="85"/>
        <v>51108.05</v>
      </c>
      <c r="V83" s="709">
        <f t="shared" si="86"/>
        <v>48738.38</v>
      </c>
      <c r="Y83" s="709">
        <f t="shared" si="87"/>
        <v>45569.73</v>
      </c>
      <c r="AA83" s="709">
        <f t="shared" si="88"/>
        <v>56496.39</v>
      </c>
      <c r="AD83" s="709">
        <f t="shared" si="89"/>
        <v>54161.08</v>
      </c>
      <c r="AF83" s="709">
        <f t="shared" si="90"/>
        <v>67273.070000000007</v>
      </c>
      <c r="AH83" s="709">
        <f t="shared" si="91"/>
        <v>64113.51</v>
      </c>
      <c r="AK83" s="709">
        <f t="shared" si="92"/>
        <v>29360.82</v>
      </c>
      <c r="AM83" s="709">
        <f t="shared" si="93"/>
        <v>36645.26</v>
      </c>
      <c r="AO83" s="709">
        <f t="shared" si="94"/>
        <v>34889.949999999997</v>
      </c>
      <c r="AR83" s="709">
        <f t="shared" si="95"/>
        <v>35718.379999999997</v>
      </c>
      <c r="AV83" s="725">
        <f>ROUND(AV85/AU85,3)</f>
        <v>1.3080000000000001</v>
      </c>
      <c r="AW83" s="709">
        <f t="shared" si="96"/>
        <v>65258.22</v>
      </c>
      <c r="AY83" s="709">
        <f t="shared" si="97"/>
        <v>81192.94</v>
      </c>
      <c r="BA83" s="709">
        <f t="shared" si="98"/>
        <v>77353.2</v>
      </c>
      <c r="BD83" s="709">
        <f t="shared" si="99"/>
        <v>77787.27</v>
      </c>
      <c r="BF83" s="709">
        <f t="shared" si="100"/>
        <v>96908.93</v>
      </c>
      <c r="BJ83" s="709">
        <f t="shared" si="101"/>
        <v>25708.01</v>
      </c>
      <c r="BL83" s="709">
        <f t="shared" si="102"/>
        <v>27763.9</v>
      </c>
      <c r="BN83" s="709">
        <f t="shared" si="103"/>
        <v>23851.91</v>
      </c>
      <c r="BQ83" s="709">
        <f t="shared" si="104"/>
        <v>29360.82</v>
      </c>
      <c r="BS83" s="709">
        <f t="shared" si="105"/>
        <v>36645.26</v>
      </c>
      <c r="BU83" s="709">
        <f t="shared" si="106"/>
        <v>34889.949999999997</v>
      </c>
      <c r="BY83" s="178"/>
      <c r="BZ83" s="178"/>
    </row>
    <row r="84" spans="1:79" s="106" customFormat="1" ht="16.5">
      <c r="A84" s="95" t="s">
        <v>387</v>
      </c>
      <c r="B84" s="172" t="s">
        <v>177</v>
      </c>
      <c r="C84" s="140" t="s">
        <v>410</v>
      </c>
      <c r="D84" s="709">
        <f t="shared" si="78"/>
        <v>31250.82</v>
      </c>
      <c r="E84" s="187">
        <v>107</v>
      </c>
      <c r="F84" s="709">
        <f t="shared" si="79"/>
        <v>38535.26</v>
      </c>
      <c r="G84" s="187">
        <v>129</v>
      </c>
      <c r="H84" s="709">
        <f t="shared" si="80"/>
        <v>36779.949999999997</v>
      </c>
      <c r="I84" s="187">
        <v>33</v>
      </c>
      <c r="J84" s="711">
        <f>ROUND((D84*E84+F84*G84+H84*I84),2)</f>
        <v>9528624.6300000008</v>
      </c>
      <c r="K84" s="709">
        <f t="shared" si="81"/>
        <v>35546.49</v>
      </c>
      <c r="L84" s="101"/>
      <c r="M84" s="709">
        <f t="shared" si="82"/>
        <v>43923.6</v>
      </c>
      <c r="N84" s="187"/>
      <c r="O84" s="709">
        <f t="shared" si="83"/>
        <v>41904.99</v>
      </c>
      <c r="P84" s="187"/>
      <c r="Q84" s="711">
        <f>ROUND((K84*L84+M84*N84+O84*P84),2)</f>
        <v>0</v>
      </c>
      <c r="R84" s="709">
        <f t="shared" si="84"/>
        <v>41274.050000000003</v>
      </c>
      <c r="S84" s="100"/>
      <c r="T84" s="709">
        <f t="shared" si="85"/>
        <v>51108.05</v>
      </c>
      <c r="U84" s="100"/>
      <c r="V84" s="709">
        <f t="shared" si="86"/>
        <v>48738.38</v>
      </c>
      <c r="W84" s="103"/>
      <c r="X84" s="711">
        <f>ROUND((R84*S84+T84*U84+V84*W84),2)</f>
        <v>0</v>
      </c>
      <c r="Y84" s="709">
        <f t="shared" si="87"/>
        <v>45569.73</v>
      </c>
      <c r="Z84" s="100"/>
      <c r="AA84" s="709">
        <f t="shared" si="88"/>
        <v>56496.39</v>
      </c>
      <c r="AB84" s="100"/>
      <c r="AC84" s="711">
        <f>ROUND((Y84*Z84+AA84*AB84),2)</f>
        <v>0</v>
      </c>
      <c r="AD84" s="709">
        <f t="shared" si="89"/>
        <v>54161.08</v>
      </c>
      <c r="AE84" s="101">
        <v>3</v>
      </c>
      <c r="AF84" s="709">
        <f t="shared" si="90"/>
        <v>67273.070000000007</v>
      </c>
      <c r="AG84" s="101">
        <v>3</v>
      </c>
      <c r="AH84" s="709">
        <f t="shared" si="91"/>
        <v>64113.51</v>
      </c>
      <c r="AI84" s="101"/>
      <c r="AJ84" s="711">
        <f>ROUND((AD84*AE84+AF84*AG84+AH84*AI84),2)</f>
        <v>364302.45</v>
      </c>
      <c r="AK84" s="709">
        <f t="shared" si="92"/>
        <v>29360.82</v>
      </c>
      <c r="AL84" s="101"/>
      <c r="AM84" s="709">
        <f t="shared" si="93"/>
        <v>36645.26</v>
      </c>
      <c r="AN84" s="101"/>
      <c r="AO84" s="709">
        <f t="shared" si="94"/>
        <v>34889.949999999997</v>
      </c>
      <c r="AP84" s="101"/>
      <c r="AQ84" s="711">
        <f>ROUND((AK84*AL84+AM84*AN84+AO84*AP84),2)</f>
        <v>0</v>
      </c>
      <c r="AR84" s="709">
        <f t="shared" si="95"/>
        <v>35718.379999999997</v>
      </c>
      <c r="AS84" s="104"/>
      <c r="AT84" s="711">
        <f>ROUND((AR84*AS84),2)</f>
        <v>0</v>
      </c>
      <c r="AU84" s="712">
        <f>AT84+AQ84+AJ84+AC84+X84+Q84+J84</f>
        <v>9892927.0800000001</v>
      </c>
      <c r="AV84" s="105"/>
      <c r="AW84" s="709">
        <f t="shared" si="96"/>
        <v>65258.22</v>
      </c>
      <c r="AX84" s="102"/>
      <c r="AY84" s="709">
        <f t="shared" si="97"/>
        <v>81192.94</v>
      </c>
      <c r="AZ84" s="102"/>
      <c r="BA84" s="709">
        <f t="shared" si="98"/>
        <v>77353.2</v>
      </c>
      <c r="BB84" s="102"/>
      <c r="BC84" s="711">
        <f>ROUND((AW84*AX84+AY84*AZ84+BA84*BB84),2)</f>
        <v>0</v>
      </c>
      <c r="BD84" s="709">
        <f t="shared" si="99"/>
        <v>77787.27</v>
      </c>
      <c r="BE84" s="100"/>
      <c r="BF84" s="709">
        <f t="shared" si="100"/>
        <v>96908.93</v>
      </c>
      <c r="BG84" s="100"/>
      <c r="BH84" s="711">
        <f>ROUND((BD84*BE84+BF84*BG84),2)</f>
        <v>0</v>
      </c>
      <c r="BI84" s="713">
        <f>BH84+BC84</f>
        <v>0</v>
      </c>
      <c r="BJ84" s="709">
        <f t="shared" si="101"/>
        <v>25708.01</v>
      </c>
      <c r="BK84" s="100"/>
      <c r="BL84" s="709">
        <f t="shared" si="102"/>
        <v>27763.9</v>
      </c>
      <c r="BM84" s="100"/>
      <c r="BN84" s="709">
        <f t="shared" si="103"/>
        <v>23851.91</v>
      </c>
      <c r="BO84" s="100"/>
      <c r="BP84" s="711">
        <f>ROUND((BJ84*BK84+BL84*BM84+BN84*BO84),2)</f>
        <v>0</v>
      </c>
      <c r="BQ84" s="709">
        <f t="shared" si="104"/>
        <v>29360.82</v>
      </c>
      <c r="BR84" s="103"/>
      <c r="BS84" s="709">
        <f t="shared" si="105"/>
        <v>36645.26</v>
      </c>
      <c r="BT84" s="103"/>
      <c r="BU84" s="709">
        <f t="shared" si="106"/>
        <v>34889.949999999997</v>
      </c>
      <c r="BV84" s="103"/>
      <c r="BW84" s="711">
        <f>ROUND((BQ84*BR84+BS84*BT84+BU84*BV84),2)</f>
        <v>0</v>
      </c>
      <c r="BX84" s="145">
        <f>BV84+BT84+BR84+BO84+BM84+BK84+BG84+BE84+BB84+AZ84+AX84+AS84+AP84+AN84+AL84+AI84+AG84+AE84+AB84+Z84+W84+U84+S84+P84+N84+L84+I84+G84+E84</f>
        <v>275</v>
      </c>
      <c r="BY84" s="107"/>
      <c r="BZ84" s="107"/>
    </row>
    <row r="85" spans="1:79" ht="15.75">
      <c r="A85" s="726"/>
      <c r="B85" s="727" t="s">
        <v>462</v>
      </c>
      <c r="C85" s="726"/>
      <c r="D85" s="709">
        <f t="shared" si="78"/>
        <v>31250.82</v>
      </c>
      <c r="E85" s="728">
        <f>E84</f>
        <v>107</v>
      </c>
      <c r="F85" s="709">
        <f t="shared" si="79"/>
        <v>38535.26</v>
      </c>
      <c r="G85" s="728">
        <f>G84</f>
        <v>129</v>
      </c>
      <c r="H85" s="709">
        <f t="shared" si="80"/>
        <v>36779.949999999997</v>
      </c>
      <c r="I85" s="728">
        <f>I84</f>
        <v>33</v>
      </c>
      <c r="J85" s="728">
        <f>J84</f>
        <v>9528624.6300000008</v>
      </c>
      <c r="K85" s="709">
        <f t="shared" si="81"/>
        <v>35546.49</v>
      </c>
      <c r="L85" s="728">
        <f>L84</f>
        <v>0</v>
      </c>
      <c r="M85" s="709">
        <f t="shared" si="82"/>
        <v>43923.6</v>
      </c>
      <c r="N85" s="728">
        <f>N84</f>
        <v>0</v>
      </c>
      <c r="O85" s="709">
        <f t="shared" si="83"/>
        <v>41904.99</v>
      </c>
      <c r="P85" s="728">
        <f>P84</f>
        <v>0</v>
      </c>
      <c r="Q85" s="728">
        <f>Q84</f>
        <v>0</v>
      </c>
      <c r="R85" s="709">
        <f t="shared" si="84"/>
        <v>41274.050000000003</v>
      </c>
      <c r="S85" s="728">
        <f>S84</f>
        <v>0</v>
      </c>
      <c r="T85" s="709">
        <f t="shared" si="85"/>
        <v>51108.05</v>
      </c>
      <c r="U85" s="728">
        <f>U84</f>
        <v>0</v>
      </c>
      <c r="V85" s="709">
        <f t="shared" si="86"/>
        <v>48738.38</v>
      </c>
      <c r="W85" s="728">
        <f>W84</f>
        <v>0</v>
      </c>
      <c r="X85" s="728">
        <f>X84</f>
        <v>0</v>
      </c>
      <c r="Y85" s="709">
        <f t="shared" si="87"/>
        <v>45569.73</v>
      </c>
      <c r="Z85" s="728">
        <f>Z84</f>
        <v>0</v>
      </c>
      <c r="AA85" s="709">
        <f t="shared" si="88"/>
        <v>56496.39</v>
      </c>
      <c r="AB85" s="728">
        <f>AB84</f>
        <v>0</v>
      </c>
      <c r="AC85" s="728">
        <f>AC84</f>
        <v>0</v>
      </c>
      <c r="AD85" s="709">
        <f t="shared" si="89"/>
        <v>54161.08</v>
      </c>
      <c r="AE85" s="728">
        <f>AE84</f>
        <v>3</v>
      </c>
      <c r="AF85" s="709">
        <f t="shared" si="90"/>
        <v>67273.070000000007</v>
      </c>
      <c r="AG85" s="728">
        <f>AG84</f>
        <v>3</v>
      </c>
      <c r="AH85" s="709">
        <f t="shared" si="91"/>
        <v>64113.51</v>
      </c>
      <c r="AI85" s="728">
        <f>AI84</f>
        <v>0</v>
      </c>
      <c r="AJ85" s="728">
        <f>AJ84</f>
        <v>364302.45</v>
      </c>
      <c r="AK85" s="709">
        <f t="shared" si="92"/>
        <v>29360.82</v>
      </c>
      <c r="AL85" s="728">
        <f>AL84</f>
        <v>0</v>
      </c>
      <c r="AM85" s="709">
        <f t="shared" si="93"/>
        <v>36645.26</v>
      </c>
      <c r="AN85" s="728">
        <f>AN84</f>
        <v>0</v>
      </c>
      <c r="AO85" s="709">
        <f t="shared" si="94"/>
        <v>34889.949999999997</v>
      </c>
      <c r="AP85" s="728">
        <f>AP84</f>
        <v>0</v>
      </c>
      <c r="AQ85" s="728">
        <f>AQ84</f>
        <v>0</v>
      </c>
      <c r="AR85" s="709">
        <f t="shared" si="95"/>
        <v>35718.379999999997</v>
      </c>
      <c r="AS85" s="728">
        <f>AS84</f>
        <v>0</v>
      </c>
      <c r="AT85" s="728">
        <f>AT84</f>
        <v>0</v>
      </c>
      <c r="AU85" s="1065">
        <f>AU84</f>
        <v>9892927.0800000001</v>
      </c>
      <c r="AV85" s="728">
        <f>'старое не смотреть'!D132</f>
        <v>12935754.119999999</v>
      </c>
      <c r="AW85" s="709">
        <f t="shared" si="96"/>
        <v>65258.22</v>
      </c>
      <c r="AX85" s="728">
        <f>AX84</f>
        <v>0</v>
      </c>
      <c r="AY85" s="709">
        <f t="shared" si="97"/>
        <v>81192.94</v>
      </c>
      <c r="AZ85" s="728">
        <f>AZ84</f>
        <v>0</v>
      </c>
      <c r="BA85" s="709">
        <f t="shared" si="98"/>
        <v>77353.2</v>
      </c>
      <c r="BB85" s="728">
        <f>BB84</f>
        <v>0</v>
      </c>
      <c r="BC85" s="728">
        <f>BC84</f>
        <v>0</v>
      </c>
      <c r="BD85" s="709">
        <f t="shared" si="99"/>
        <v>77787.27</v>
      </c>
      <c r="BE85" s="728">
        <f>BE84</f>
        <v>0</v>
      </c>
      <c r="BF85" s="709">
        <f t="shared" si="100"/>
        <v>96908.93</v>
      </c>
      <c r="BG85" s="728">
        <f>BG84</f>
        <v>0</v>
      </c>
      <c r="BH85" s="728">
        <f>BH84</f>
        <v>0</v>
      </c>
      <c r="BI85" s="728">
        <f>BI84</f>
        <v>0</v>
      </c>
      <c r="BJ85" s="709">
        <f t="shared" si="101"/>
        <v>25708.01</v>
      </c>
      <c r="BK85" s="728">
        <f>BK84</f>
        <v>0</v>
      </c>
      <c r="BL85" s="709">
        <f t="shared" si="102"/>
        <v>27763.9</v>
      </c>
      <c r="BM85" s="728">
        <f>BM84</f>
        <v>0</v>
      </c>
      <c r="BN85" s="709">
        <f t="shared" si="103"/>
        <v>23851.91</v>
      </c>
      <c r="BO85" s="728">
        <f>BO84</f>
        <v>0</v>
      </c>
      <c r="BP85" s="728">
        <f>BP84</f>
        <v>0</v>
      </c>
      <c r="BQ85" s="709">
        <f t="shared" si="104"/>
        <v>29360.82</v>
      </c>
      <c r="BR85" s="728">
        <f t="shared" ref="BR85:BX85" si="112">BR84</f>
        <v>0</v>
      </c>
      <c r="BS85" s="709">
        <f t="shared" si="105"/>
        <v>36645.26</v>
      </c>
      <c r="BT85" s="728">
        <f t="shared" si="112"/>
        <v>0</v>
      </c>
      <c r="BU85" s="709">
        <f t="shared" si="106"/>
        <v>34889.949999999997</v>
      </c>
      <c r="BV85" s="728">
        <f t="shared" si="112"/>
        <v>0</v>
      </c>
      <c r="BW85" s="728">
        <f t="shared" si="112"/>
        <v>0</v>
      </c>
      <c r="BX85" s="729">
        <f t="shared" si="112"/>
        <v>275</v>
      </c>
      <c r="BY85" s="178"/>
      <c r="BZ85" s="178"/>
    </row>
    <row r="86" spans="1:79" ht="18.75">
      <c r="A86" s="1631" t="s">
        <v>98</v>
      </c>
      <c r="B86" s="1632"/>
      <c r="C86" s="1633"/>
      <c r="D86" s="141">
        <f t="shared" si="78"/>
        <v>31250.82</v>
      </c>
      <c r="F86" s="141">
        <f t="shared" si="79"/>
        <v>38535.26</v>
      </c>
      <c r="H86" s="141">
        <f t="shared" si="80"/>
        <v>36779.949999999997</v>
      </c>
      <c r="K86" s="141">
        <f t="shared" si="81"/>
        <v>35546.49</v>
      </c>
      <c r="M86" s="141">
        <f t="shared" si="82"/>
        <v>43923.6</v>
      </c>
      <c r="O86" s="141">
        <f t="shared" si="83"/>
        <v>41904.99</v>
      </c>
      <c r="R86" s="141">
        <f t="shared" si="84"/>
        <v>41274.050000000003</v>
      </c>
      <c r="T86" s="141">
        <f t="shared" si="85"/>
        <v>51108.05</v>
      </c>
      <c r="V86" s="141">
        <f t="shared" si="86"/>
        <v>48738.38</v>
      </c>
      <c r="Y86" s="141">
        <f t="shared" si="87"/>
        <v>45569.73</v>
      </c>
      <c r="AA86" s="141">
        <f t="shared" si="88"/>
        <v>56496.39</v>
      </c>
      <c r="AD86" s="141">
        <f t="shared" si="89"/>
        <v>54161.08</v>
      </c>
      <c r="AF86" s="141">
        <f t="shared" si="90"/>
        <v>67273.070000000007</v>
      </c>
      <c r="AH86" s="141">
        <f t="shared" si="91"/>
        <v>64113.51</v>
      </c>
      <c r="AK86" s="141">
        <f t="shared" si="92"/>
        <v>29360.82</v>
      </c>
      <c r="AM86" s="141">
        <f t="shared" si="93"/>
        <v>36645.26</v>
      </c>
      <c r="AO86" s="141">
        <f t="shared" si="94"/>
        <v>34889.949999999997</v>
      </c>
      <c r="AR86" s="141">
        <f t="shared" si="95"/>
        <v>35718.379999999997</v>
      </c>
      <c r="AV86" s="248">
        <f>ROUND(AV99/AU99,2)</f>
        <v>1.24</v>
      </c>
      <c r="AW86" s="141">
        <f t="shared" si="96"/>
        <v>65258.22</v>
      </c>
      <c r="AY86" s="141">
        <f t="shared" si="97"/>
        <v>81192.94</v>
      </c>
      <c r="BA86" s="141">
        <f t="shared" si="98"/>
        <v>77353.2</v>
      </c>
      <c r="BD86" s="141">
        <f t="shared" si="99"/>
        <v>77787.27</v>
      </c>
      <c r="BF86" s="141">
        <f t="shared" si="100"/>
        <v>96908.93</v>
      </c>
      <c r="BJ86" s="141">
        <f t="shared" si="101"/>
        <v>25708.01</v>
      </c>
      <c r="BL86" s="141">
        <f t="shared" si="102"/>
        <v>27763.9</v>
      </c>
      <c r="BN86" s="141">
        <f t="shared" si="103"/>
        <v>23851.91</v>
      </c>
      <c r="BQ86" s="141">
        <f t="shared" si="104"/>
        <v>29360.82</v>
      </c>
      <c r="BS86" s="141">
        <f t="shared" si="105"/>
        <v>36645.26</v>
      </c>
      <c r="BU86" s="141">
        <f t="shared" si="106"/>
        <v>34889.949999999997</v>
      </c>
      <c r="BY86" s="178"/>
      <c r="BZ86" s="178"/>
    </row>
    <row r="87" spans="1:79" s="94" customFormat="1" ht="16.5">
      <c r="A87" s="95" t="s">
        <v>387</v>
      </c>
      <c r="B87" s="249" t="s">
        <v>463</v>
      </c>
      <c r="C87" s="250" t="s">
        <v>388</v>
      </c>
      <c r="D87" s="141">
        <f t="shared" si="78"/>
        <v>31250.82</v>
      </c>
      <c r="E87" s="537">
        <v>289</v>
      </c>
      <c r="F87" s="141">
        <f t="shared" si="79"/>
        <v>38535.26</v>
      </c>
      <c r="G87" s="537">
        <v>258</v>
      </c>
      <c r="H87" s="141">
        <f t="shared" si="80"/>
        <v>36779.949999999997</v>
      </c>
      <c r="I87" s="537">
        <v>58</v>
      </c>
      <c r="J87" s="142">
        <f>ROUND((D87*E87+F87*G87+H87*I87),2)</f>
        <v>21106821.16</v>
      </c>
      <c r="K87" s="141">
        <f t="shared" si="81"/>
        <v>35546.49</v>
      </c>
      <c r="L87" s="251"/>
      <c r="M87" s="141">
        <f t="shared" si="82"/>
        <v>43923.6</v>
      </c>
      <c r="N87" s="537">
        <v>60</v>
      </c>
      <c r="O87" s="141">
        <f t="shared" si="83"/>
        <v>41904.99</v>
      </c>
      <c r="P87" s="537">
        <v>12</v>
      </c>
      <c r="Q87" s="142">
        <f>ROUND((K87*L87+M87*N87+O87*P87),2)</f>
        <v>3138275.88</v>
      </c>
      <c r="R87" s="141">
        <f t="shared" si="84"/>
        <v>41274.050000000003</v>
      </c>
      <c r="S87" s="251"/>
      <c r="T87" s="141">
        <f t="shared" si="85"/>
        <v>51108.05</v>
      </c>
      <c r="U87" s="251"/>
      <c r="V87" s="141">
        <f t="shared" si="86"/>
        <v>48738.38</v>
      </c>
      <c r="W87" s="251"/>
      <c r="X87" s="142">
        <f>ROUND((R87*S87+T87*U87+V87*W87),2)</f>
        <v>0</v>
      </c>
      <c r="Y87" s="141">
        <f t="shared" si="87"/>
        <v>45569.73</v>
      </c>
      <c r="Z87" s="251"/>
      <c r="AA87" s="141">
        <f t="shared" si="88"/>
        <v>56496.39</v>
      </c>
      <c r="AB87" s="537">
        <v>12</v>
      </c>
      <c r="AC87" s="142">
        <f t="shared" ref="AC87:AC94" si="113">ROUND((Y87*Z87+AA87*AB87),2)</f>
        <v>677956.68</v>
      </c>
      <c r="AD87" s="141">
        <f t="shared" si="89"/>
        <v>54161.08</v>
      </c>
      <c r="AE87" s="537">
        <v>11</v>
      </c>
      <c r="AF87" s="141">
        <f t="shared" si="90"/>
        <v>67273.070000000007</v>
      </c>
      <c r="AG87" s="537">
        <v>16</v>
      </c>
      <c r="AH87" s="141">
        <f t="shared" si="91"/>
        <v>64113.51</v>
      </c>
      <c r="AI87" s="251">
        <v>0</v>
      </c>
      <c r="AJ87" s="142">
        <f>ROUND((AD87*AE87+AF87*AG87+AH87*AI87),2)</f>
        <v>1672141</v>
      </c>
      <c r="AK87" s="141">
        <f t="shared" si="92"/>
        <v>29360.82</v>
      </c>
      <c r="AL87" s="251"/>
      <c r="AM87" s="141">
        <f t="shared" si="93"/>
        <v>36645.26</v>
      </c>
      <c r="AN87" s="251"/>
      <c r="AO87" s="141">
        <f t="shared" si="94"/>
        <v>34889.949999999997</v>
      </c>
      <c r="AP87" s="251"/>
      <c r="AQ87" s="142">
        <f>ROUND((AK87*AL87+AM87*AN87+AO87*AP87),2)</f>
        <v>0</v>
      </c>
      <c r="AR87" s="141">
        <f t="shared" si="95"/>
        <v>35718.379999999997</v>
      </c>
      <c r="AS87" s="251"/>
      <c r="AT87" s="142">
        <f>ROUND((AR87*AS87),2)</f>
        <v>0</v>
      </c>
      <c r="AU87" s="143">
        <f>AT87+AQ87+AJ87+AC87+X87+Q87+J87</f>
        <v>26595194.719999999</v>
      </c>
      <c r="AV87" s="251"/>
      <c r="AW87" s="141">
        <f t="shared" si="96"/>
        <v>65258.22</v>
      </c>
      <c r="AX87" s="251"/>
      <c r="AY87" s="141">
        <f t="shared" si="97"/>
        <v>81192.94</v>
      </c>
      <c r="AZ87" s="251"/>
      <c r="BA87" s="141">
        <f t="shared" si="98"/>
        <v>77353.2</v>
      </c>
      <c r="BB87" s="251"/>
      <c r="BC87" s="142">
        <f>ROUND((AW87*AX87+AY87*AZ87+BA87*BB87),2)</f>
        <v>0</v>
      </c>
      <c r="BD87" s="141">
        <f t="shared" si="99"/>
        <v>77787.27</v>
      </c>
      <c r="BE87" s="251"/>
      <c r="BF87" s="141">
        <f t="shared" si="100"/>
        <v>96908.93</v>
      </c>
      <c r="BG87" s="251"/>
      <c r="BH87" s="142">
        <f>ROUND((BD87*BE87+BF87*BG87),2)</f>
        <v>0</v>
      </c>
      <c r="BI87" s="144">
        <f>BH87+BC87</f>
        <v>0</v>
      </c>
      <c r="BJ87" s="141">
        <f t="shared" si="101"/>
        <v>25708.01</v>
      </c>
      <c r="BK87" s="251"/>
      <c r="BL87" s="141">
        <f t="shared" si="102"/>
        <v>27763.9</v>
      </c>
      <c r="BM87" s="251"/>
      <c r="BN87" s="141">
        <f t="shared" si="103"/>
        <v>23851.91</v>
      </c>
      <c r="BO87" s="251"/>
      <c r="BP87" s="142">
        <f>ROUND((BJ87*BK87+BL87*BM87+BN87*BO87),2)</f>
        <v>0</v>
      </c>
      <c r="BQ87" s="141">
        <f t="shared" si="104"/>
        <v>29360.82</v>
      </c>
      <c r="BR87" s="251"/>
      <c r="BS87" s="141">
        <f t="shared" si="105"/>
        <v>36645.26</v>
      </c>
      <c r="BT87" s="251"/>
      <c r="BU87" s="141">
        <f t="shared" si="106"/>
        <v>34889.949999999997</v>
      </c>
      <c r="BV87" s="251"/>
      <c r="BW87" s="142">
        <f>ROUND((BQ87*BR87+BS87*BT87+BU87*BV87),2)</f>
        <v>0</v>
      </c>
      <c r="BX87" s="252">
        <f>BV87+BT87+BR87+BO87+BM87+BK87+BG87+BE87+BB87+AZ87+AX87+AS87+AP87+AN87+AL87+AI87+AG87+AE87+AB87+Z87+W87+U87+S87+P87+N87+L87+I87+G87+E87</f>
        <v>716</v>
      </c>
      <c r="BY87" s="136"/>
      <c r="BZ87" s="136"/>
    </row>
    <row r="88" spans="1:79" s="106" customFormat="1" ht="33">
      <c r="A88" s="108"/>
      <c r="B88" s="253" t="s">
        <v>464</v>
      </c>
      <c r="C88" s="254"/>
      <c r="D88" s="141">
        <f t="shared" si="78"/>
        <v>31250.82</v>
      </c>
      <c r="E88" s="110">
        <v>6</v>
      </c>
      <c r="F88" s="141">
        <f t="shared" si="79"/>
        <v>38535.26</v>
      </c>
      <c r="G88" s="110"/>
      <c r="H88" s="141">
        <f t="shared" si="80"/>
        <v>36779.949999999997</v>
      </c>
      <c r="I88" s="110"/>
      <c r="J88" s="142">
        <f>ROUND((D88*E88+F88*G88+H88*I88),2)</f>
        <v>187504.92</v>
      </c>
      <c r="K88" s="141">
        <f t="shared" si="81"/>
        <v>35546.49</v>
      </c>
      <c r="L88" s="101"/>
      <c r="M88" s="141">
        <f t="shared" si="82"/>
        <v>43923.6</v>
      </c>
      <c r="N88" s="110"/>
      <c r="O88" s="141">
        <f t="shared" si="83"/>
        <v>41904.99</v>
      </c>
      <c r="P88" s="110"/>
      <c r="Q88" s="142">
        <f>ROUND((K88*L88+M88*N88+O88*P88),2)</f>
        <v>0</v>
      </c>
      <c r="R88" s="141">
        <f t="shared" si="84"/>
        <v>41274.050000000003</v>
      </c>
      <c r="S88" s="100"/>
      <c r="T88" s="141">
        <f t="shared" si="85"/>
        <v>51108.05</v>
      </c>
      <c r="U88" s="100"/>
      <c r="V88" s="141">
        <f t="shared" si="86"/>
        <v>48738.38</v>
      </c>
      <c r="W88" s="103"/>
      <c r="X88" s="142">
        <f>ROUND((R88*S88+T88*U88+V88*W88),2)</f>
        <v>0</v>
      </c>
      <c r="Y88" s="141">
        <f t="shared" si="87"/>
        <v>45569.73</v>
      </c>
      <c r="Z88" s="100"/>
      <c r="AA88" s="141">
        <f t="shared" si="88"/>
        <v>56496.39</v>
      </c>
      <c r="AB88" s="100"/>
      <c r="AC88" s="142">
        <f t="shared" si="113"/>
        <v>0</v>
      </c>
      <c r="AD88" s="141">
        <f t="shared" si="89"/>
        <v>54161.08</v>
      </c>
      <c r="AE88" s="101"/>
      <c r="AF88" s="141">
        <f t="shared" si="90"/>
        <v>67273.070000000007</v>
      </c>
      <c r="AG88" s="101"/>
      <c r="AH88" s="141">
        <f t="shared" si="91"/>
        <v>64113.51</v>
      </c>
      <c r="AI88" s="101"/>
      <c r="AJ88" s="142">
        <f>ROUND((AD88*AE88+AF88*AG88+AH88*AI88),2)</f>
        <v>0</v>
      </c>
      <c r="AK88" s="141">
        <f t="shared" si="92"/>
        <v>29360.82</v>
      </c>
      <c r="AL88" s="101"/>
      <c r="AM88" s="141">
        <f t="shared" si="93"/>
        <v>36645.26</v>
      </c>
      <c r="AN88" s="101"/>
      <c r="AO88" s="141">
        <f t="shared" si="94"/>
        <v>34889.949999999997</v>
      </c>
      <c r="AP88" s="101"/>
      <c r="AQ88" s="142">
        <f>ROUND((AK88*AL88+AM88*AN88+AO88*AP88),2)</f>
        <v>0</v>
      </c>
      <c r="AR88" s="141">
        <f t="shared" si="95"/>
        <v>35718.379999999997</v>
      </c>
      <c r="AS88" s="101">
        <v>14</v>
      </c>
      <c r="AT88" s="142">
        <f>ROUND((AR88*AS88),2)</f>
        <v>500057.32</v>
      </c>
      <c r="AU88" s="143">
        <f>AT88+AQ88+AJ88+AC88+X88+Q88+J88</f>
        <v>687562.23999999999</v>
      </c>
      <c r="AV88" s="105"/>
      <c r="AW88" s="141">
        <f t="shared" si="96"/>
        <v>65258.22</v>
      </c>
      <c r="AX88" s="102"/>
      <c r="AY88" s="141">
        <f t="shared" si="97"/>
        <v>81192.94</v>
      </c>
      <c r="AZ88" s="102"/>
      <c r="BA88" s="141">
        <f t="shared" si="98"/>
        <v>77353.2</v>
      </c>
      <c r="BB88" s="102"/>
      <c r="BC88" s="142">
        <f>ROUND((AW88*AX88+AY88*AZ88+BA88*BB88),2)</f>
        <v>0</v>
      </c>
      <c r="BD88" s="141">
        <f t="shared" si="99"/>
        <v>77787.27</v>
      </c>
      <c r="BE88" s="100"/>
      <c r="BF88" s="141">
        <f t="shared" si="100"/>
        <v>96908.93</v>
      </c>
      <c r="BG88" s="100"/>
      <c r="BH88" s="142">
        <f>ROUND((BD88*BE88+BF88*BG88),2)</f>
        <v>0</v>
      </c>
      <c r="BI88" s="144">
        <f>BH88+BC88</f>
        <v>0</v>
      </c>
      <c r="BJ88" s="141">
        <f t="shared" si="101"/>
        <v>25708.01</v>
      </c>
      <c r="BK88" s="100"/>
      <c r="BL88" s="141">
        <f t="shared" si="102"/>
        <v>27763.9</v>
      </c>
      <c r="BM88" s="100"/>
      <c r="BN88" s="141">
        <f t="shared" si="103"/>
        <v>23851.91</v>
      </c>
      <c r="BO88" s="100"/>
      <c r="BP88" s="142">
        <f>ROUND((BJ88*BK88+BL88*BM88+BN88*BO88),2)</f>
        <v>0</v>
      </c>
      <c r="BQ88" s="141">
        <f t="shared" si="104"/>
        <v>29360.82</v>
      </c>
      <c r="BR88" s="103"/>
      <c r="BS88" s="141">
        <f t="shared" si="105"/>
        <v>36645.26</v>
      </c>
      <c r="BT88" s="103"/>
      <c r="BU88" s="141">
        <f t="shared" si="106"/>
        <v>34889.949999999997</v>
      </c>
      <c r="BV88" s="103"/>
      <c r="BW88" s="142">
        <f>ROUND((BQ88*BR88+BS88*BT88+BU88*BV88),2)</f>
        <v>0</v>
      </c>
      <c r="BX88" s="252">
        <f>BV88+BT88+BR88+BO88+BM88+BK88+BG88+BE88+BB88+AZ88+AX88+AS88+AP88+AN88+AL88+AI88+AG88+AE88+AB88+Z88+W88+U88+S88+P88+N88+L88+I88+G88+E88</f>
        <v>20</v>
      </c>
      <c r="BY88" s="107"/>
      <c r="BZ88" s="107"/>
    </row>
    <row r="89" spans="1:79" s="193" customFormat="1" ht="33">
      <c r="A89" s="173"/>
      <c r="B89" s="256" t="s">
        <v>465</v>
      </c>
      <c r="C89" s="257"/>
      <c r="D89" s="141">
        <f t="shared" si="78"/>
        <v>31250.82</v>
      </c>
      <c r="E89" s="258">
        <f>E87+E88</f>
        <v>295</v>
      </c>
      <c r="F89" s="141">
        <f t="shared" si="79"/>
        <v>38535.26</v>
      </c>
      <c r="G89" s="258">
        <f>G87+G88</f>
        <v>258</v>
      </c>
      <c r="H89" s="141">
        <f t="shared" si="80"/>
        <v>36779.949999999997</v>
      </c>
      <c r="I89" s="258">
        <f>I87+I88</f>
        <v>58</v>
      </c>
      <c r="J89" s="258">
        <f>J87+J88</f>
        <v>21294326.080000002</v>
      </c>
      <c r="K89" s="141">
        <f t="shared" si="81"/>
        <v>35546.49</v>
      </c>
      <c r="L89" s="258">
        <f>L87+L88</f>
        <v>0</v>
      </c>
      <c r="M89" s="141">
        <f t="shared" si="82"/>
        <v>43923.6</v>
      </c>
      <c r="N89" s="258">
        <f>N87+N88</f>
        <v>60</v>
      </c>
      <c r="O89" s="141">
        <f t="shared" si="83"/>
        <v>41904.99</v>
      </c>
      <c r="P89" s="258">
        <f>P87+P88</f>
        <v>12</v>
      </c>
      <c r="Q89" s="258">
        <f>Q87+Q88</f>
        <v>3138275.88</v>
      </c>
      <c r="R89" s="141">
        <f t="shared" si="84"/>
        <v>41274.050000000003</v>
      </c>
      <c r="S89" s="258">
        <f>S87+S88</f>
        <v>0</v>
      </c>
      <c r="T89" s="141">
        <f t="shared" si="85"/>
        <v>51108.05</v>
      </c>
      <c r="U89" s="258">
        <f>U87+U88</f>
        <v>0</v>
      </c>
      <c r="V89" s="141">
        <f t="shared" si="86"/>
        <v>48738.38</v>
      </c>
      <c r="W89" s="258">
        <f>W87+W88</f>
        <v>0</v>
      </c>
      <c r="X89" s="258">
        <f>X87+X88</f>
        <v>0</v>
      </c>
      <c r="Y89" s="141">
        <f t="shared" si="87"/>
        <v>45569.73</v>
      </c>
      <c r="Z89" s="258">
        <f>Z87+Z88</f>
        <v>0</v>
      </c>
      <c r="AA89" s="141">
        <f t="shared" si="88"/>
        <v>56496.39</v>
      </c>
      <c r="AB89" s="258">
        <f>AB87+AB88</f>
        <v>12</v>
      </c>
      <c r="AC89" s="258">
        <f>AC87+AC88</f>
        <v>677956.68</v>
      </c>
      <c r="AD89" s="141">
        <f t="shared" si="89"/>
        <v>54161.08</v>
      </c>
      <c r="AE89" s="258">
        <f>AE87+AE88</f>
        <v>11</v>
      </c>
      <c r="AF89" s="141">
        <f t="shared" si="90"/>
        <v>67273.070000000007</v>
      </c>
      <c r="AG89" s="258">
        <f>AG87+AG88</f>
        <v>16</v>
      </c>
      <c r="AH89" s="141">
        <f t="shared" si="91"/>
        <v>64113.51</v>
      </c>
      <c r="AI89" s="258">
        <f>AI87+AI88</f>
        <v>0</v>
      </c>
      <c r="AJ89" s="258">
        <f>AJ87+AJ88</f>
        <v>1672141</v>
      </c>
      <c r="AK89" s="141">
        <f t="shared" si="92"/>
        <v>29360.82</v>
      </c>
      <c r="AL89" s="258">
        <f>AL87+AL88</f>
        <v>0</v>
      </c>
      <c r="AM89" s="141">
        <f t="shared" si="93"/>
        <v>36645.26</v>
      </c>
      <c r="AN89" s="258">
        <f>AN87+AN88</f>
        <v>0</v>
      </c>
      <c r="AO89" s="141">
        <f t="shared" si="94"/>
        <v>34889.949999999997</v>
      </c>
      <c r="AP89" s="258">
        <f t="shared" ref="AP89:BZ89" si="114">AP87+AP88</f>
        <v>0</v>
      </c>
      <c r="AQ89" s="258">
        <f t="shared" si="114"/>
        <v>0</v>
      </c>
      <c r="AR89" s="141">
        <f t="shared" si="95"/>
        <v>35718.379999999997</v>
      </c>
      <c r="AS89" s="258">
        <f>AS87+AS88</f>
        <v>14</v>
      </c>
      <c r="AT89" s="258">
        <f t="shared" si="114"/>
        <v>500057.32</v>
      </c>
      <c r="AU89" s="1066">
        <f t="shared" si="114"/>
        <v>27282756.959999997</v>
      </c>
      <c r="AV89" s="258">
        <f>'старое не смотреть'!D140</f>
        <v>29774593.050000001</v>
      </c>
      <c r="AW89" s="141">
        <f t="shared" si="96"/>
        <v>65258.22</v>
      </c>
      <c r="AX89" s="258">
        <f t="shared" si="114"/>
        <v>0</v>
      </c>
      <c r="AY89" s="141">
        <f t="shared" si="97"/>
        <v>81192.94</v>
      </c>
      <c r="AZ89" s="258">
        <f t="shared" si="114"/>
        <v>0</v>
      </c>
      <c r="BA89" s="141">
        <f t="shared" si="98"/>
        <v>77353.2</v>
      </c>
      <c r="BB89" s="258">
        <f t="shared" si="114"/>
        <v>0</v>
      </c>
      <c r="BC89" s="258">
        <f t="shared" si="114"/>
        <v>0</v>
      </c>
      <c r="BD89" s="141">
        <f t="shared" si="99"/>
        <v>77787.27</v>
      </c>
      <c r="BE89" s="258">
        <f t="shared" si="114"/>
        <v>0</v>
      </c>
      <c r="BF89" s="141">
        <f t="shared" si="100"/>
        <v>96908.93</v>
      </c>
      <c r="BG89" s="258">
        <f t="shared" si="114"/>
        <v>0</v>
      </c>
      <c r="BH89" s="258">
        <f t="shared" si="114"/>
        <v>0</v>
      </c>
      <c r="BI89" s="258">
        <f t="shared" si="114"/>
        <v>0</v>
      </c>
      <c r="BJ89" s="141">
        <f t="shared" si="101"/>
        <v>25708.01</v>
      </c>
      <c r="BK89" s="258">
        <f t="shared" si="114"/>
        <v>0</v>
      </c>
      <c r="BL89" s="141">
        <f t="shared" si="102"/>
        <v>27763.9</v>
      </c>
      <c r="BM89" s="258">
        <f t="shared" si="114"/>
        <v>0</v>
      </c>
      <c r="BN89" s="141">
        <f t="shared" si="103"/>
        <v>23851.91</v>
      </c>
      <c r="BO89" s="258">
        <f>BO87+BO88</f>
        <v>0</v>
      </c>
      <c r="BP89" s="258">
        <f t="shared" si="114"/>
        <v>0</v>
      </c>
      <c r="BQ89" s="141">
        <f t="shared" si="104"/>
        <v>29360.82</v>
      </c>
      <c r="BR89" s="258">
        <f t="shared" si="114"/>
        <v>0</v>
      </c>
      <c r="BS89" s="141">
        <f t="shared" si="105"/>
        <v>36645.26</v>
      </c>
      <c r="BT89" s="258">
        <f t="shared" si="114"/>
        <v>0</v>
      </c>
      <c r="BU89" s="141">
        <f t="shared" si="106"/>
        <v>34889.949999999997</v>
      </c>
      <c r="BV89" s="258">
        <f t="shared" si="114"/>
        <v>0</v>
      </c>
      <c r="BW89" s="258">
        <f t="shared" si="114"/>
        <v>0</v>
      </c>
      <c r="BX89" s="258">
        <f t="shared" si="114"/>
        <v>736</v>
      </c>
      <c r="BY89" s="258">
        <f t="shared" si="114"/>
        <v>0</v>
      </c>
      <c r="BZ89" s="258">
        <f t="shared" si="114"/>
        <v>0</v>
      </c>
    </row>
    <row r="90" spans="1:79" s="193" customFormat="1" ht="16.5">
      <c r="A90" s="882" t="s">
        <v>389</v>
      </c>
      <c r="B90" s="883" t="s">
        <v>466</v>
      </c>
      <c r="C90" s="884" t="s">
        <v>388</v>
      </c>
      <c r="D90" s="141">
        <f>D93</f>
        <v>31250.82</v>
      </c>
      <c r="E90" s="255">
        <v>207</v>
      </c>
      <c r="F90" s="141">
        <f>F93</f>
        <v>38535.26</v>
      </c>
      <c r="G90" s="255">
        <v>172</v>
      </c>
      <c r="H90" s="141">
        <f>H93</f>
        <v>36779.949999999997</v>
      </c>
      <c r="I90" s="261"/>
      <c r="J90" s="142">
        <f>ROUND((D90*E90+F90*G90+H90*I90),2)</f>
        <v>13096984.460000001</v>
      </c>
      <c r="K90" s="141">
        <f>K93</f>
        <v>35546.49</v>
      </c>
      <c r="L90" s="262"/>
      <c r="M90" s="141">
        <f>M93</f>
        <v>43923.6</v>
      </c>
      <c r="N90" s="255">
        <v>66</v>
      </c>
      <c r="O90" s="141">
        <f>O93</f>
        <v>41904.99</v>
      </c>
      <c r="P90" s="255">
        <v>59</v>
      </c>
      <c r="Q90" s="142">
        <f>ROUND((K90*L90+M90*N90+O90*P90),2)</f>
        <v>5371352.0099999998</v>
      </c>
      <c r="R90" s="141">
        <f>R93</f>
        <v>41274.050000000003</v>
      </c>
      <c r="S90" s="885"/>
      <c r="T90" s="141">
        <f>T93</f>
        <v>51108.05</v>
      </c>
      <c r="U90" s="885"/>
      <c r="V90" s="141">
        <f>V93</f>
        <v>48738.38</v>
      </c>
      <c r="W90" s="886"/>
      <c r="X90" s="142">
        <f>ROUND((R90*S90+T90*U90+V90*W90),2)</f>
        <v>0</v>
      </c>
      <c r="Y90" s="141">
        <f>Y93</f>
        <v>45569.73</v>
      </c>
      <c r="Z90" s="885"/>
      <c r="AA90" s="141">
        <f>AA93</f>
        <v>56496.39</v>
      </c>
      <c r="AB90" s="269">
        <v>11</v>
      </c>
      <c r="AC90" s="142">
        <f t="shared" si="113"/>
        <v>621460.29</v>
      </c>
      <c r="AD90" s="141">
        <f>AD93</f>
        <v>54161.08</v>
      </c>
      <c r="AE90" s="270">
        <v>14</v>
      </c>
      <c r="AF90" s="141">
        <f>AF93</f>
        <v>67273.070000000007</v>
      </c>
      <c r="AG90" s="270">
        <v>15</v>
      </c>
      <c r="AH90" s="141">
        <f>AH93</f>
        <v>64113.51</v>
      </c>
      <c r="AI90" s="887">
        <v>2</v>
      </c>
      <c r="AJ90" s="142">
        <f>ROUND((AD90*AE90+AF90*AG90+AH90*AI90),2)</f>
        <v>1895578.19</v>
      </c>
      <c r="AK90" s="141">
        <f>AK93</f>
        <v>29360.82</v>
      </c>
      <c r="AL90" s="888"/>
      <c r="AM90" s="141">
        <f>AM93</f>
        <v>36645.26</v>
      </c>
      <c r="AN90" s="888"/>
      <c r="AO90" s="141">
        <f>AO93</f>
        <v>34889.949999999997</v>
      </c>
      <c r="AP90" s="888"/>
      <c r="AQ90" s="142">
        <f>ROUND((AK90*AL90+AM90*AN90+AO90*AP90),2)</f>
        <v>0</v>
      </c>
      <c r="AR90" s="141">
        <f>AR93</f>
        <v>35718.379999999997</v>
      </c>
      <c r="AS90" s="888"/>
      <c r="AT90" s="142">
        <f>ROUND((AR90*AS90),2)</f>
        <v>0</v>
      </c>
      <c r="AU90" s="143">
        <f>AT90+AQ90+AJ90+AC90+X90+Q90+J90</f>
        <v>20985374.950000003</v>
      </c>
      <c r="AV90" s="889"/>
      <c r="AW90" s="141">
        <f>AW93</f>
        <v>65258.22</v>
      </c>
      <c r="AX90" s="888"/>
      <c r="AY90" s="141">
        <f>AY93</f>
        <v>81192.94</v>
      </c>
      <c r="AZ90" s="888"/>
      <c r="BA90" s="141">
        <f>BA93</f>
        <v>77353.2</v>
      </c>
      <c r="BB90" s="888"/>
      <c r="BC90" s="142">
        <f>ROUND((AW90*AX90+AY90*AZ90+BA90*BB90),2)</f>
        <v>0</v>
      </c>
      <c r="BD90" s="141">
        <f>BD93</f>
        <v>77787.27</v>
      </c>
      <c r="BE90" s="885"/>
      <c r="BF90" s="141">
        <f>BF93</f>
        <v>96908.93</v>
      </c>
      <c r="BG90" s="885"/>
      <c r="BH90" s="142">
        <f>ROUND((BD90*BE90+BF90*BG90),2)</f>
        <v>0</v>
      </c>
      <c r="BI90" s="144">
        <f>BH90+BC90</f>
        <v>0</v>
      </c>
      <c r="BJ90" s="141">
        <f>BJ93</f>
        <v>25708.01</v>
      </c>
      <c r="BK90" s="885"/>
      <c r="BL90" s="141">
        <f>BL93</f>
        <v>27763.9</v>
      </c>
      <c r="BM90" s="885"/>
      <c r="BN90" s="141">
        <f>BN93</f>
        <v>23851.91</v>
      </c>
      <c r="BO90" s="886">
        <v>59</v>
      </c>
      <c r="BP90" s="142">
        <f>ROUND((BJ90*BK90+BL90*BM90+BN90*BO90),2)</f>
        <v>1407262.69</v>
      </c>
      <c r="BQ90" s="141">
        <f>BQ93</f>
        <v>29360.82</v>
      </c>
      <c r="BR90" s="885"/>
      <c r="BS90" s="141">
        <f>BS93</f>
        <v>36645.26</v>
      </c>
      <c r="BT90" s="885"/>
      <c r="BU90" s="141">
        <f>BU93</f>
        <v>34889.949999999997</v>
      </c>
      <c r="BV90" s="885"/>
      <c r="BW90" s="142">
        <f>ROUND((BQ90*BR90+BS90*BT90+BU90*BV90),2)</f>
        <v>0</v>
      </c>
      <c r="BX90" s="890">
        <f t="shared" ref="BX90:BX97" si="115">BV90+BT90+BR90+BO90+BM90+BK90+BG90+BE90+BB90+AZ90+AX90+AS90+AP90+AN90+AL90+AI90+AG90+AE90+AB90+Z90+W90+U90+S90+P90+N90+L90+I90+G90+E90</f>
        <v>605</v>
      </c>
      <c r="BY90" s="242" t="s">
        <v>467</v>
      </c>
      <c r="BZ90" s="242"/>
    </row>
    <row r="91" spans="1:79" s="193" customFormat="1" ht="16.5">
      <c r="A91" s="882"/>
      <c r="B91" s="883" t="s">
        <v>705</v>
      </c>
      <c r="C91" s="884"/>
      <c r="D91" s="141">
        <f>D94</f>
        <v>31250.82</v>
      </c>
      <c r="E91" s="255">
        <v>35</v>
      </c>
      <c r="F91" s="141">
        <f>F94</f>
        <v>38535.26</v>
      </c>
      <c r="G91" s="255">
        <v>35</v>
      </c>
      <c r="H91" s="141">
        <f>H94</f>
        <v>36779.949999999997</v>
      </c>
      <c r="I91" s="261"/>
      <c r="J91" s="142">
        <f>ROUND((D91*E91+F91*G91+H91*I91),2)</f>
        <v>2442512.7999999998</v>
      </c>
      <c r="K91" s="141"/>
      <c r="L91" s="262"/>
      <c r="M91" s="141">
        <f>M94</f>
        <v>43923.6</v>
      </c>
      <c r="N91" s="261"/>
      <c r="O91" s="141">
        <f>O94</f>
        <v>41904.99</v>
      </c>
      <c r="P91" s="261"/>
      <c r="Q91" s="142">
        <f>ROUND((K91*L91+M91*N91+O91*P91),2)</f>
        <v>0</v>
      </c>
      <c r="R91" s="141">
        <f>R94</f>
        <v>41274.050000000003</v>
      </c>
      <c r="S91" s="885"/>
      <c r="T91" s="141"/>
      <c r="U91" s="885"/>
      <c r="V91" s="141"/>
      <c r="W91" s="886"/>
      <c r="X91" s="142"/>
      <c r="Y91" s="141"/>
      <c r="Z91" s="885"/>
      <c r="AA91" s="141"/>
      <c r="AB91" s="263"/>
      <c r="AC91" s="142">
        <f t="shared" si="113"/>
        <v>0</v>
      </c>
      <c r="AD91" s="141">
        <f>AD94</f>
        <v>54161.08</v>
      </c>
      <c r="AE91" s="264"/>
      <c r="AF91" s="141">
        <f>AF94</f>
        <v>67273.070000000007</v>
      </c>
      <c r="AG91" s="264"/>
      <c r="AH91" s="141">
        <f>AH94</f>
        <v>64113.51</v>
      </c>
      <c r="AI91" s="887"/>
      <c r="AJ91" s="142">
        <f>ROUND((AD91*AE91+AF91*AG91+AH91*AI91),2)</f>
        <v>0</v>
      </c>
      <c r="AK91" s="141">
        <f>AK94</f>
        <v>29360.82</v>
      </c>
      <c r="AL91" s="888"/>
      <c r="AM91" s="141">
        <f>AM94</f>
        <v>36645.26</v>
      </c>
      <c r="AN91" s="888"/>
      <c r="AO91" s="141">
        <f>AO94</f>
        <v>34889.949999999997</v>
      </c>
      <c r="AP91" s="888"/>
      <c r="AQ91" s="142">
        <f>ROUND((AK91*AL91+AM91*AN91+AO91*AP91),2)</f>
        <v>0</v>
      </c>
      <c r="AR91" s="141">
        <f>AR94</f>
        <v>35718.379999999997</v>
      </c>
      <c r="AS91" s="887">
        <v>15</v>
      </c>
      <c r="AT91" s="142">
        <f>ROUND((AR91*AS91),2)</f>
        <v>535775.69999999995</v>
      </c>
      <c r="AU91" s="143">
        <f>AT91+AQ91+AJ91+AC91+X91+Q91+J91</f>
        <v>2978288.5</v>
      </c>
      <c r="AV91" s="889"/>
      <c r="AW91" s="141">
        <f>AW94</f>
        <v>65258.22</v>
      </c>
      <c r="AX91" s="888"/>
      <c r="AY91" s="141">
        <f>AY94</f>
        <v>81192.94</v>
      </c>
      <c r="AZ91" s="888"/>
      <c r="BA91" s="141">
        <f>BA94</f>
        <v>77353.2</v>
      </c>
      <c r="BB91" s="888"/>
      <c r="BC91" s="142"/>
      <c r="BD91" s="141">
        <f>BD94</f>
        <v>77787.27</v>
      </c>
      <c r="BE91" s="885"/>
      <c r="BF91" s="141">
        <f>BF94</f>
        <v>96908.93</v>
      </c>
      <c r="BG91" s="885"/>
      <c r="BH91" s="142">
        <f>ROUND((BD91*BE91+BF91*BG91),2)</f>
        <v>0</v>
      </c>
      <c r="BI91" s="144">
        <f>BH91+BC91</f>
        <v>0</v>
      </c>
      <c r="BJ91" s="141">
        <f>BJ94</f>
        <v>25708.01</v>
      </c>
      <c r="BK91" s="885"/>
      <c r="BL91" s="141">
        <f>BL94</f>
        <v>27763.9</v>
      </c>
      <c r="BM91" s="885"/>
      <c r="BN91" s="141"/>
      <c r="BO91" s="885"/>
      <c r="BP91" s="142">
        <f>ROUND((BJ91*BK91+BL91*BM91+BN91*BO91),2)</f>
        <v>0</v>
      </c>
      <c r="BQ91" s="141">
        <f>BQ94</f>
        <v>29360.82</v>
      </c>
      <c r="BR91" s="885"/>
      <c r="BS91" s="141">
        <f>BS94</f>
        <v>36645.26</v>
      </c>
      <c r="BT91" s="885"/>
      <c r="BU91" s="141">
        <f>BU94</f>
        <v>34889.949999999997</v>
      </c>
      <c r="BV91" s="885"/>
      <c r="BW91" s="142">
        <f>ROUND((BQ91*BR91+BS91*BT91+BU91*BV91),2)</f>
        <v>0</v>
      </c>
      <c r="BX91" s="890">
        <f t="shared" si="115"/>
        <v>85</v>
      </c>
      <c r="BY91" s="242"/>
      <c r="BZ91" s="242"/>
    </row>
    <row r="92" spans="1:79" s="193" customFormat="1" ht="33">
      <c r="A92" s="173"/>
      <c r="B92" s="256" t="s">
        <v>706</v>
      </c>
      <c r="C92" s="260"/>
      <c r="D92" s="141">
        <f>D95</f>
        <v>31250.82</v>
      </c>
      <c r="E92" s="258">
        <f>E90+E91</f>
        <v>242</v>
      </c>
      <c r="F92" s="141">
        <f>F95</f>
        <v>38535.26</v>
      </c>
      <c r="G92" s="258">
        <f>G90+G91</f>
        <v>207</v>
      </c>
      <c r="H92" s="141">
        <f>H95</f>
        <v>36779.949999999997</v>
      </c>
      <c r="I92" s="258">
        <f>I90+I91</f>
        <v>0</v>
      </c>
      <c r="J92" s="407">
        <f>J90+J91</f>
        <v>15539497.260000002</v>
      </c>
      <c r="K92" s="141"/>
      <c r="L92" s="262"/>
      <c r="M92" s="141">
        <f>M95</f>
        <v>43923.6</v>
      </c>
      <c r="N92" s="261">
        <f>N90+N91</f>
        <v>66</v>
      </c>
      <c r="O92" s="141">
        <f>O95</f>
        <v>41904.99</v>
      </c>
      <c r="P92" s="261">
        <f>P90+P91</f>
        <v>59</v>
      </c>
      <c r="Q92" s="407">
        <f>Q90+Q91</f>
        <v>5371352.0099999998</v>
      </c>
      <c r="R92" s="141">
        <f>R95</f>
        <v>41274.050000000003</v>
      </c>
      <c r="S92" s="262">
        <f>S90+S91</f>
        <v>0</v>
      </c>
      <c r="T92" s="141"/>
      <c r="U92" s="262">
        <f>U90+U91</f>
        <v>0</v>
      </c>
      <c r="V92" s="141"/>
      <c r="W92" s="262">
        <f>W90+W91</f>
        <v>0</v>
      </c>
      <c r="X92" s="891"/>
      <c r="Y92" s="141"/>
      <c r="Z92" s="262">
        <f>Z90+Z91</f>
        <v>0</v>
      </c>
      <c r="AA92" s="141"/>
      <c r="AB92" s="262">
        <f>AB90+AB91</f>
        <v>11</v>
      </c>
      <c r="AC92" s="891">
        <f>AC90+AC91</f>
        <v>621460.29</v>
      </c>
      <c r="AD92" s="141">
        <f>AD95</f>
        <v>54161.08</v>
      </c>
      <c r="AE92" s="265">
        <f>AE90+AE91</f>
        <v>14</v>
      </c>
      <c r="AF92" s="141">
        <f>AF95</f>
        <v>67273.070000000007</v>
      </c>
      <c r="AG92" s="265">
        <f>AG90+AG91</f>
        <v>15</v>
      </c>
      <c r="AH92" s="141">
        <f>AH95</f>
        <v>64113.51</v>
      </c>
      <c r="AI92" s="265">
        <f>AI90+AI91</f>
        <v>2</v>
      </c>
      <c r="AJ92" s="891">
        <f>AJ90+AJ91</f>
        <v>1895578.19</v>
      </c>
      <c r="AK92" s="141">
        <f>AK95</f>
        <v>29360.82</v>
      </c>
      <c r="AL92" s="265">
        <f>AL90+AL91</f>
        <v>0</v>
      </c>
      <c r="AM92" s="141">
        <f>AM95</f>
        <v>36645.26</v>
      </c>
      <c r="AN92" s="265">
        <f>AN90+AN91</f>
        <v>0</v>
      </c>
      <c r="AO92" s="141">
        <f>AO95</f>
        <v>34889.949999999997</v>
      </c>
      <c r="AP92" s="265"/>
      <c r="AQ92" s="891">
        <f>AQ90+AQ91</f>
        <v>0</v>
      </c>
      <c r="AR92" s="141">
        <f>AR95</f>
        <v>35718.379999999997</v>
      </c>
      <c r="AS92" s="265">
        <f>AS90+AS91</f>
        <v>15</v>
      </c>
      <c r="AT92" s="891">
        <f>AT90+AT91</f>
        <v>535775.69999999995</v>
      </c>
      <c r="AU92" s="892">
        <f>AU90+AU91</f>
        <v>23963663.450000003</v>
      </c>
      <c r="AV92" s="266">
        <f>'старое не смотреть'!D141</f>
        <v>30640061.440000001</v>
      </c>
      <c r="AW92" s="141">
        <f>AW95</f>
        <v>65258.22</v>
      </c>
      <c r="AX92" s="265">
        <f>AX90+AX91</f>
        <v>0</v>
      </c>
      <c r="AY92" s="141">
        <f>AY95</f>
        <v>81192.94</v>
      </c>
      <c r="AZ92" s="265">
        <f>AZ90+AZ91</f>
        <v>0</v>
      </c>
      <c r="BA92" s="141">
        <f>BA95</f>
        <v>77353.2</v>
      </c>
      <c r="BB92" s="265">
        <f>BB90+BB91</f>
        <v>0</v>
      </c>
      <c r="BC92" s="891"/>
      <c r="BD92" s="141">
        <f>BD95</f>
        <v>77787.27</v>
      </c>
      <c r="BE92" s="262">
        <f>BE90+BE91</f>
        <v>0</v>
      </c>
      <c r="BF92" s="141">
        <f>BF95</f>
        <v>96908.93</v>
      </c>
      <c r="BG92" s="258">
        <f>BG90+BG91</f>
        <v>0</v>
      </c>
      <c r="BH92" s="258">
        <f>BH90+BH91</f>
        <v>0</v>
      </c>
      <c r="BI92" s="258">
        <f>BI90+BI91</f>
        <v>0</v>
      </c>
      <c r="BJ92" s="141">
        <f>BJ95</f>
        <v>25708.01</v>
      </c>
      <c r="BK92" s="262">
        <f>BK90+BK91</f>
        <v>0</v>
      </c>
      <c r="BL92" s="141">
        <f>BL95</f>
        <v>27763.9</v>
      </c>
      <c r="BM92" s="262">
        <f>BM90+BM91</f>
        <v>0</v>
      </c>
      <c r="BN92" s="141"/>
      <c r="BO92" s="262">
        <f>BO90+BO91</f>
        <v>59</v>
      </c>
      <c r="BP92" s="891">
        <f>BP90+BP91</f>
        <v>1407262.69</v>
      </c>
      <c r="BQ92" s="141">
        <f>BQ95</f>
        <v>29360.82</v>
      </c>
      <c r="BR92" s="262"/>
      <c r="BS92" s="141">
        <f>BS95</f>
        <v>36645.26</v>
      </c>
      <c r="BT92" s="262"/>
      <c r="BU92" s="141">
        <f>BU95</f>
        <v>34889.949999999997</v>
      </c>
      <c r="BV92" s="262"/>
      <c r="BW92" s="891"/>
      <c r="BX92" s="267">
        <f>BX90+BX91</f>
        <v>690</v>
      </c>
      <c r="BY92" s="192"/>
      <c r="BZ92" s="192"/>
    </row>
    <row r="93" spans="1:79" s="116" customFormat="1" ht="16.5">
      <c r="A93" s="108" t="s">
        <v>393</v>
      </c>
      <c r="B93" s="250" t="s">
        <v>468</v>
      </c>
      <c r="C93" s="268" t="s">
        <v>388</v>
      </c>
      <c r="D93" s="141">
        <f t="shared" si="78"/>
        <v>31250.82</v>
      </c>
      <c r="E93" s="255">
        <v>295</v>
      </c>
      <c r="F93" s="141">
        <f t="shared" si="79"/>
        <v>38535.26</v>
      </c>
      <c r="G93" s="255">
        <v>174</v>
      </c>
      <c r="H93" s="141">
        <f t="shared" si="80"/>
        <v>36779.949999999997</v>
      </c>
      <c r="I93" s="255"/>
      <c r="J93" s="142">
        <f>ROUND((D93*E93+F93*G93+H93*I93),2)</f>
        <v>15924127.140000001</v>
      </c>
      <c r="K93" s="141">
        <f t="shared" si="81"/>
        <v>35546.49</v>
      </c>
      <c r="L93" s="255"/>
      <c r="M93" s="141">
        <f t="shared" si="82"/>
        <v>43923.6</v>
      </c>
      <c r="N93" s="255">
        <v>126</v>
      </c>
      <c r="O93" s="141">
        <f t="shared" si="83"/>
        <v>41904.99</v>
      </c>
      <c r="P93" s="255">
        <v>55</v>
      </c>
      <c r="Q93" s="142">
        <f>ROUND((K93*L93+M93*N93+O93*P93),2)</f>
        <v>7839148.0499999998</v>
      </c>
      <c r="R93" s="141">
        <f t="shared" si="84"/>
        <v>41274.050000000003</v>
      </c>
      <c r="S93" s="255"/>
      <c r="T93" s="141">
        <f t="shared" si="85"/>
        <v>51108.05</v>
      </c>
      <c r="U93" s="255"/>
      <c r="V93" s="141">
        <f t="shared" si="86"/>
        <v>48738.38</v>
      </c>
      <c r="W93" s="255"/>
      <c r="X93" s="142">
        <f>ROUND((R93*S93+T93*U93+V93*W93),2)</f>
        <v>0</v>
      </c>
      <c r="Y93" s="141">
        <f t="shared" si="87"/>
        <v>45569.73</v>
      </c>
      <c r="Z93" s="255"/>
      <c r="AA93" s="141">
        <f t="shared" si="88"/>
        <v>56496.39</v>
      </c>
      <c r="AB93" s="255">
        <v>11</v>
      </c>
      <c r="AC93" s="142">
        <f t="shared" si="113"/>
        <v>621460.29</v>
      </c>
      <c r="AD93" s="141">
        <f t="shared" si="89"/>
        <v>54161.08</v>
      </c>
      <c r="AE93" s="255">
        <v>9</v>
      </c>
      <c r="AF93" s="141">
        <f t="shared" si="90"/>
        <v>67273.070000000007</v>
      </c>
      <c r="AG93" s="255">
        <v>12</v>
      </c>
      <c r="AH93" s="141">
        <f t="shared" si="91"/>
        <v>64113.51</v>
      </c>
      <c r="AI93" s="255">
        <v>1</v>
      </c>
      <c r="AJ93" s="142">
        <f>ROUND((AD93*AE93+AF93*AG93+AH93*AI93),2)</f>
        <v>1358840.07</v>
      </c>
      <c r="AK93" s="141">
        <f t="shared" si="92"/>
        <v>29360.82</v>
      </c>
      <c r="AL93" s="255"/>
      <c r="AM93" s="141">
        <f t="shared" si="93"/>
        <v>36645.26</v>
      </c>
      <c r="AN93" s="255"/>
      <c r="AO93" s="141">
        <f t="shared" si="94"/>
        <v>34889.949999999997</v>
      </c>
      <c r="AP93" s="255"/>
      <c r="AQ93" s="142">
        <f>ROUND((AK93*AL93+AM93*AN93+AO93*AP93),2)</f>
        <v>0</v>
      </c>
      <c r="AR93" s="141">
        <f t="shared" si="95"/>
        <v>35718.379999999997</v>
      </c>
      <c r="AS93" s="255"/>
      <c r="AT93" s="142">
        <f>ROUND((AR93*AS93),2)</f>
        <v>0</v>
      </c>
      <c r="AU93" s="143">
        <f>AT93+AQ93+AJ93+AC93+X93+Q93+J93</f>
        <v>25743575.550000001</v>
      </c>
      <c r="AV93" s="255"/>
      <c r="AW93" s="141">
        <f t="shared" si="96"/>
        <v>65258.22</v>
      </c>
      <c r="AX93" s="255"/>
      <c r="AY93" s="141">
        <f t="shared" si="97"/>
        <v>81192.94</v>
      </c>
      <c r="AZ93" s="255"/>
      <c r="BA93" s="141">
        <f t="shared" si="98"/>
        <v>77353.2</v>
      </c>
      <c r="BB93" s="255"/>
      <c r="BC93" s="142">
        <f>ROUND((AW93*AX93+AY93*AZ93+BA93*BB93),2)</f>
        <v>0</v>
      </c>
      <c r="BD93" s="141">
        <f t="shared" si="99"/>
        <v>77787.27</v>
      </c>
      <c r="BE93" s="255"/>
      <c r="BF93" s="141">
        <f t="shared" si="100"/>
        <v>96908.93</v>
      </c>
      <c r="BG93" s="255"/>
      <c r="BH93" s="142">
        <f>ROUND((BD93*BE93+BF93*BG93),2)</f>
        <v>0</v>
      </c>
      <c r="BI93" s="144">
        <f>BH93+BC93</f>
        <v>0</v>
      </c>
      <c r="BJ93" s="141">
        <f t="shared" si="101"/>
        <v>25708.01</v>
      </c>
      <c r="BK93" s="255"/>
      <c r="BL93" s="141">
        <f t="shared" si="102"/>
        <v>27763.9</v>
      </c>
      <c r="BM93" s="255"/>
      <c r="BN93" s="141">
        <f t="shared" si="103"/>
        <v>23851.91</v>
      </c>
      <c r="BO93" s="255"/>
      <c r="BP93" s="142">
        <f>ROUND((BJ93*BK93+BL93*BM93+BN93*BO93),2)</f>
        <v>0</v>
      </c>
      <c r="BQ93" s="141">
        <f t="shared" si="104"/>
        <v>29360.82</v>
      </c>
      <c r="BR93" s="255"/>
      <c r="BS93" s="141">
        <f t="shared" si="105"/>
        <v>36645.26</v>
      </c>
      <c r="BT93" s="255"/>
      <c r="BU93" s="141">
        <f t="shared" si="106"/>
        <v>34889.949999999997</v>
      </c>
      <c r="BV93" s="255"/>
      <c r="BW93" s="142">
        <f>ROUND((BQ93*BR93+BS93*BT93+BU93*BV93),2)</f>
        <v>0</v>
      </c>
      <c r="BX93" s="252">
        <f>BV93+BT93+BR93+BO93+BM93+BK93+BG93+BE93+BB93+AZ93+AX93+AS93+AP93+AN93+AL93+AI93+AG93+AE93+AB93+Z93+W93+U93+S93+P93+N93+L93+I93+G93+E93</f>
        <v>683</v>
      </c>
      <c r="BY93" s="117" t="s">
        <v>469</v>
      </c>
      <c r="BZ93" s="117"/>
    </row>
    <row r="94" spans="1:79" s="116" customFormat="1" ht="16.5">
      <c r="A94" s="95"/>
      <c r="B94" s="253" t="s">
        <v>470</v>
      </c>
      <c r="C94" s="268"/>
      <c r="D94" s="141">
        <f t="shared" si="78"/>
        <v>31250.82</v>
      </c>
      <c r="E94" s="255">
        <v>22</v>
      </c>
      <c r="F94" s="141">
        <f t="shared" si="79"/>
        <v>38535.26</v>
      </c>
      <c r="G94" s="255">
        <v>22</v>
      </c>
      <c r="H94" s="141">
        <f t="shared" si="80"/>
        <v>36779.949999999997</v>
      </c>
      <c r="I94" s="255"/>
      <c r="J94" s="142">
        <f>ROUND((D94*E94+F94*G94+H94*I94),2)</f>
        <v>1535293.76</v>
      </c>
      <c r="K94" s="141">
        <f t="shared" si="81"/>
        <v>35546.49</v>
      </c>
      <c r="L94" s="269"/>
      <c r="M94" s="141">
        <f t="shared" si="82"/>
        <v>43923.6</v>
      </c>
      <c r="N94" s="255"/>
      <c r="O94" s="141">
        <f t="shared" si="83"/>
        <v>41904.99</v>
      </c>
      <c r="P94" s="255"/>
      <c r="Q94" s="142">
        <f>ROUND((K94*L94+M94*N94+O94*P94),2)</f>
        <v>0</v>
      </c>
      <c r="R94" s="141">
        <f t="shared" si="84"/>
        <v>41274.050000000003</v>
      </c>
      <c r="S94" s="269"/>
      <c r="T94" s="141">
        <f t="shared" si="85"/>
        <v>51108.05</v>
      </c>
      <c r="U94" s="269"/>
      <c r="V94" s="141">
        <f t="shared" si="86"/>
        <v>48738.38</v>
      </c>
      <c r="W94" s="269"/>
      <c r="X94" s="142">
        <f>ROUND((R94*S94+T94*U94+V94*W94),2)</f>
        <v>0</v>
      </c>
      <c r="Y94" s="141">
        <f t="shared" si="87"/>
        <v>45569.73</v>
      </c>
      <c r="Z94" s="269"/>
      <c r="AA94" s="141">
        <f t="shared" si="88"/>
        <v>56496.39</v>
      </c>
      <c r="AB94" s="269"/>
      <c r="AC94" s="142">
        <f t="shared" si="113"/>
        <v>0</v>
      </c>
      <c r="AD94" s="141">
        <f t="shared" si="89"/>
        <v>54161.08</v>
      </c>
      <c r="AE94" s="270"/>
      <c r="AF94" s="141">
        <f t="shared" si="90"/>
        <v>67273.070000000007</v>
      </c>
      <c r="AG94" s="270">
        <v>1</v>
      </c>
      <c r="AH94" s="141">
        <f t="shared" si="91"/>
        <v>64113.51</v>
      </c>
      <c r="AI94" s="270"/>
      <c r="AJ94" s="142">
        <f>ROUND((AD94*AE94+AF94*AG94+AH94*AI94),2)</f>
        <v>67273.070000000007</v>
      </c>
      <c r="AK94" s="141">
        <f t="shared" si="92"/>
        <v>29360.82</v>
      </c>
      <c r="AL94" s="270"/>
      <c r="AM94" s="141">
        <f t="shared" si="93"/>
        <v>36645.26</v>
      </c>
      <c r="AN94" s="270"/>
      <c r="AO94" s="141">
        <f t="shared" si="94"/>
        <v>34889.949999999997</v>
      </c>
      <c r="AP94" s="270"/>
      <c r="AQ94" s="142">
        <f>ROUND((AK94*AL94+AM94*AN94+AO94*AP94),2)</f>
        <v>0</v>
      </c>
      <c r="AR94" s="141">
        <f t="shared" si="95"/>
        <v>35718.379999999997</v>
      </c>
      <c r="AS94" s="270"/>
      <c r="AT94" s="142">
        <f>ROUND((AR94*AS94),2)</f>
        <v>0</v>
      </c>
      <c r="AU94" s="143">
        <f>AT94+AQ94+AJ94+AC94+X94+Q94+J94</f>
        <v>1602566.83</v>
      </c>
      <c r="AV94" s="271"/>
      <c r="AW94" s="141">
        <f t="shared" si="96"/>
        <v>65258.22</v>
      </c>
      <c r="AX94" s="270"/>
      <c r="AY94" s="141">
        <f t="shared" si="97"/>
        <v>81192.94</v>
      </c>
      <c r="AZ94" s="270"/>
      <c r="BA94" s="141">
        <f t="shared" si="98"/>
        <v>77353.2</v>
      </c>
      <c r="BB94" s="270"/>
      <c r="BC94" s="142">
        <f>ROUND((AW94*AX94+AY94*AZ94+BA94*BB94),2)</f>
        <v>0</v>
      </c>
      <c r="BD94" s="141">
        <f t="shared" si="99"/>
        <v>77787.27</v>
      </c>
      <c r="BE94" s="269"/>
      <c r="BF94" s="141">
        <f t="shared" si="100"/>
        <v>96908.93</v>
      </c>
      <c r="BG94" s="269"/>
      <c r="BH94" s="142">
        <f>ROUND((BD94*BE94+BF94*BG94),2)</f>
        <v>0</v>
      </c>
      <c r="BI94" s="144">
        <f>BH94+BC94</f>
        <v>0</v>
      </c>
      <c r="BJ94" s="141">
        <f t="shared" si="101"/>
        <v>25708.01</v>
      </c>
      <c r="BK94" s="269"/>
      <c r="BL94" s="141">
        <f t="shared" si="102"/>
        <v>27763.9</v>
      </c>
      <c r="BM94" s="269"/>
      <c r="BN94" s="141">
        <f t="shared" si="103"/>
        <v>23851.91</v>
      </c>
      <c r="BO94" s="269"/>
      <c r="BP94" s="142">
        <f>ROUND((BJ94*BK94+BL94*BM94+BN94*BO94),2)</f>
        <v>0</v>
      </c>
      <c r="BQ94" s="141">
        <f t="shared" si="104"/>
        <v>29360.82</v>
      </c>
      <c r="BR94" s="269"/>
      <c r="BS94" s="141">
        <f t="shared" si="105"/>
        <v>36645.26</v>
      </c>
      <c r="BT94" s="269"/>
      <c r="BU94" s="141">
        <f t="shared" si="106"/>
        <v>34889.949999999997</v>
      </c>
      <c r="BV94" s="269"/>
      <c r="BW94" s="142">
        <f>ROUND((BQ94*BR94+BS94*BT94+BU94*BV94),2)</f>
        <v>0</v>
      </c>
      <c r="BX94" s="252">
        <f>BV94+BT94+BR94+BO94+BM94+BK94+BG94+BE94+BB94+AZ94+AX94+AS94+AP94+AN94+AL94+AI94+AG94+AE94+AB94+Z94+W94+U94+S94+P94+N94+L94+I94+G94+E94</f>
        <v>45</v>
      </c>
      <c r="BY94" s="117" t="s">
        <v>471</v>
      </c>
      <c r="BZ94" s="117"/>
    </row>
    <row r="95" spans="1:79" s="193" customFormat="1" ht="33">
      <c r="A95" s="190"/>
      <c r="B95" s="256" t="s">
        <v>472</v>
      </c>
      <c r="C95" s="272"/>
      <c r="D95" s="141">
        <f t="shared" si="78"/>
        <v>31250.82</v>
      </c>
      <c r="E95" s="261">
        <f>SUM(E93:E94)</f>
        <v>317</v>
      </c>
      <c r="F95" s="141">
        <f t="shared" si="79"/>
        <v>38535.26</v>
      </c>
      <c r="G95" s="261">
        <f>SUM(G93:G94)</f>
        <v>196</v>
      </c>
      <c r="H95" s="141">
        <f t="shared" si="80"/>
        <v>36779.949999999997</v>
      </c>
      <c r="I95" s="261">
        <f>SUM(I93:I94)</f>
        <v>0</v>
      </c>
      <c r="J95" s="258">
        <f>SUM(J93:J94)</f>
        <v>17459420.900000002</v>
      </c>
      <c r="K95" s="141">
        <f t="shared" si="81"/>
        <v>35546.49</v>
      </c>
      <c r="L95" s="258">
        <f>SUM(L93:L94)</f>
        <v>0</v>
      </c>
      <c r="M95" s="141">
        <f t="shared" si="82"/>
        <v>43923.6</v>
      </c>
      <c r="N95" s="261">
        <f>SUM(N93:N94)</f>
        <v>126</v>
      </c>
      <c r="O95" s="141">
        <f t="shared" si="83"/>
        <v>41904.99</v>
      </c>
      <c r="P95" s="261">
        <f>SUM(P93:P94)</f>
        <v>55</v>
      </c>
      <c r="Q95" s="258">
        <f>SUM(Q93:Q94)</f>
        <v>7839148.0499999998</v>
      </c>
      <c r="R95" s="141">
        <f t="shared" si="84"/>
        <v>41274.050000000003</v>
      </c>
      <c r="S95" s="258">
        <f>SUM(S93:S94)</f>
        <v>0</v>
      </c>
      <c r="T95" s="141">
        <f t="shared" si="85"/>
        <v>51108.05</v>
      </c>
      <c r="U95" s="258">
        <f>SUM(U93:U94)</f>
        <v>0</v>
      </c>
      <c r="V95" s="141">
        <f t="shared" si="86"/>
        <v>48738.38</v>
      </c>
      <c r="W95" s="258">
        <f>SUM(W93:W94)</f>
        <v>0</v>
      </c>
      <c r="X95" s="258">
        <f>SUM(X93:X94)</f>
        <v>0</v>
      </c>
      <c r="Y95" s="141">
        <f t="shared" si="87"/>
        <v>45569.73</v>
      </c>
      <c r="Z95" s="258">
        <f>SUM(Z93:Z94)</f>
        <v>0</v>
      </c>
      <c r="AA95" s="141">
        <f t="shared" si="88"/>
        <v>56496.39</v>
      </c>
      <c r="AB95" s="261">
        <f>SUM(AB93:AB94)</f>
        <v>11</v>
      </c>
      <c r="AC95" s="258">
        <f>SUM(AC93:AC94)</f>
        <v>621460.29</v>
      </c>
      <c r="AD95" s="141">
        <f t="shared" si="89"/>
        <v>54161.08</v>
      </c>
      <c r="AE95" s="261">
        <f>SUM(AE93:AE94)</f>
        <v>9</v>
      </c>
      <c r="AF95" s="141">
        <f t="shared" si="90"/>
        <v>67273.070000000007</v>
      </c>
      <c r="AG95" s="261">
        <f>SUM(AG93:AG94)</f>
        <v>13</v>
      </c>
      <c r="AH95" s="141">
        <f t="shared" si="91"/>
        <v>64113.51</v>
      </c>
      <c r="AI95" s="258">
        <f>SUM(AI93:AI94)</f>
        <v>1</v>
      </c>
      <c r="AJ95" s="258">
        <f>SUM(AJ93:AJ94)</f>
        <v>1426113.1400000001</v>
      </c>
      <c r="AK95" s="141">
        <f t="shared" si="92"/>
        <v>29360.82</v>
      </c>
      <c r="AL95" s="258">
        <f>SUM(AL93:AL94)</f>
        <v>0</v>
      </c>
      <c r="AM95" s="141">
        <f t="shared" si="93"/>
        <v>36645.26</v>
      </c>
      <c r="AN95" s="258">
        <f>SUM(AN93:AN94)</f>
        <v>0</v>
      </c>
      <c r="AO95" s="141">
        <f t="shared" si="94"/>
        <v>34889.949999999997</v>
      </c>
      <c r="AP95" s="258">
        <f>SUM(AP93:AP94)</f>
        <v>0</v>
      </c>
      <c r="AQ95" s="258">
        <f>SUM(AQ93:AQ94)</f>
        <v>0</v>
      </c>
      <c r="AR95" s="141">
        <f t="shared" si="95"/>
        <v>35718.379999999997</v>
      </c>
      <c r="AS95" s="258">
        <f>SUM(AS93:AS94)</f>
        <v>0</v>
      </c>
      <c r="AT95" s="258">
        <f>SUM(AT93:AT94)</f>
        <v>0</v>
      </c>
      <c r="AU95" s="1066">
        <f>SUM(AU93:AU94)</f>
        <v>27346142.380000003</v>
      </c>
      <c r="AV95" s="258">
        <f>'старое не смотреть'!D142</f>
        <v>32174639.98</v>
      </c>
      <c r="AW95" s="141">
        <f t="shared" si="96"/>
        <v>65258.22</v>
      </c>
      <c r="AX95" s="258">
        <f>SUM(AX93:AX94)</f>
        <v>0</v>
      </c>
      <c r="AY95" s="141">
        <f t="shared" si="97"/>
        <v>81192.94</v>
      </c>
      <c r="AZ95" s="258">
        <f>SUM(AZ93:AZ94)</f>
        <v>0</v>
      </c>
      <c r="BA95" s="141">
        <f t="shared" si="98"/>
        <v>77353.2</v>
      </c>
      <c r="BB95" s="258">
        <f>SUM(BB93:BB94)</f>
        <v>0</v>
      </c>
      <c r="BC95" s="258">
        <f>SUM(BC93:BC94)</f>
        <v>0</v>
      </c>
      <c r="BD95" s="141">
        <f t="shared" si="99"/>
        <v>77787.27</v>
      </c>
      <c r="BE95" s="258">
        <f>SUM(BE93:BE94)</f>
        <v>0</v>
      </c>
      <c r="BF95" s="141">
        <f t="shared" si="100"/>
        <v>96908.93</v>
      </c>
      <c r="BG95" s="258">
        <f>SUM(BG93:BG94)</f>
        <v>0</v>
      </c>
      <c r="BH95" s="258">
        <f>SUM(BH93:BH94)</f>
        <v>0</v>
      </c>
      <c r="BI95" s="258">
        <f>SUM(BI93:BI94)</f>
        <v>0</v>
      </c>
      <c r="BJ95" s="141">
        <f t="shared" si="101"/>
        <v>25708.01</v>
      </c>
      <c r="BK95" s="258">
        <f>SUM(BK93:BK94)</f>
        <v>0</v>
      </c>
      <c r="BL95" s="141">
        <f t="shared" si="102"/>
        <v>27763.9</v>
      </c>
      <c r="BM95" s="258">
        <f>SUM(BM93:BM94)</f>
        <v>0</v>
      </c>
      <c r="BN95" s="141">
        <f t="shared" si="103"/>
        <v>23851.91</v>
      </c>
      <c r="BO95" s="258">
        <f>SUM(BO93:BO94)</f>
        <v>0</v>
      </c>
      <c r="BP95" s="258">
        <f>SUM(BP93:BP94)</f>
        <v>0</v>
      </c>
      <c r="BQ95" s="141">
        <f t="shared" si="104"/>
        <v>29360.82</v>
      </c>
      <c r="BR95" s="258">
        <f t="shared" ref="BR95:BZ95" si="116">SUM(BR93:BR94)</f>
        <v>0</v>
      </c>
      <c r="BS95" s="141">
        <f t="shared" si="105"/>
        <v>36645.26</v>
      </c>
      <c r="BT95" s="258">
        <f t="shared" si="116"/>
        <v>0</v>
      </c>
      <c r="BU95" s="141">
        <f t="shared" si="106"/>
        <v>34889.949999999997</v>
      </c>
      <c r="BV95" s="258">
        <f t="shared" si="116"/>
        <v>0</v>
      </c>
      <c r="BW95" s="258">
        <f t="shared" si="116"/>
        <v>0</v>
      </c>
      <c r="BX95" s="258">
        <f t="shared" si="116"/>
        <v>728</v>
      </c>
      <c r="BY95" s="258">
        <f t="shared" si="116"/>
        <v>0</v>
      </c>
      <c r="BZ95" s="258">
        <f t="shared" si="116"/>
        <v>0</v>
      </c>
      <c r="CA95" s="193" t="s">
        <v>473</v>
      </c>
    </row>
    <row r="96" spans="1:79" s="116" customFormat="1" ht="16.5">
      <c r="A96" s="95" t="s">
        <v>396</v>
      </c>
      <c r="B96" s="273" t="s">
        <v>474</v>
      </c>
      <c r="C96" s="250" t="s">
        <v>390</v>
      </c>
      <c r="D96" s="141">
        <f t="shared" si="78"/>
        <v>31250.82</v>
      </c>
      <c r="E96" s="255">
        <v>135</v>
      </c>
      <c r="F96" s="141">
        <f t="shared" si="79"/>
        <v>38535.26</v>
      </c>
      <c r="G96" s="255">
        <v>137</v>
      </c>
      <c r="H96" s="141">
        <f t="shared" si="80"/>
        <v>36779.949999999997</v>
      </c>
      <c r="I96" s="255">
        <v>26</v>
      </c>
      <c r="J96" s="142">
        <f>ROUND((D96*E96+F96*G96+H96*I96),2)</f>
        <v>10454470.02</v>
      </c>
      <c r="K96" s="141">
        <f t="shared" si="81"/>
        <v>35546.49</v>
      </c>
      <c r="L96" s="255"/>
      <c r="M96" s="141">
        <f t="shared" si="82"/>
        <v>43923.6</v>
      </c>
      <c r="N96" s="255">
        <v>25</v>
      </c>
      <c r="O96" s="141">
        <f t="shared" si="83"/>
        <v>41904.99</v>
      </c>
      <c r="P96" s="255"/>
      <c r="Q96" s="142">
        <f>ROUND((K96*L96+M96*N96+O96*P96),2)</f>
        <v>1098090</v>
      </c>
      <c r="R96" s="141">
        <f t="shared" si="84"/>
        <v>41274.050000000003</v>
      </c>
      <c r="S96" s="274"/>
      <c r="T96" s="141">
        <f t="shared" si="85"/>
        <v>51108.05</v>
      </c>
      <c r="U96" s="274"/>
      <c r="V96" s="141">
        <f t="shared" si="86"/>
        <v>48738.38</v>
      </c>
      <c r="W96" s="274"/>
      <c r="X96" s="142">
        <f>ROUND((R96*S96+T96*U96+V96*W96),2)</f>
        <v>0</v>
      </c>
      <c r="Y96" s="141">
        <f t="shared" si="87"/>
        <v>45569.73</v>
      </c>
      <c r="Z96" s="274"/>
      <c r="AA96" s="141">
        <f t="shared" si="88"/>
        <v>56496.39</v>
      </c>
      <c r="AB96" s="274"/>
      <c r="AC96" s="142">
        <f>ROUND((Y96*Z96+AA96*AB96),2)</f>
        <v>0</v>
      </c>
      <c r="AD96" s="141">
        <f t="shared" si="89"/>
        <v>54161.08</v>
      </c>
      <c r="AE96" s="275">
        <v>3</v>
      </c>
      <c r="AF96" s="141">
        <f t="shared" si="90"/>
        <v>67273.070000000007</v>
      </c>
      <c r="AG96" s="275">
        <v>8</v>
      </c>
      <c r="AH96" s="141">
        <f t="shared" si="91"/>
        <v>64113.51</v>
      </c>
      <c r="AI96" s="275">
        <v>1</v>
      </c>
      <c r="AJ96" s="142">
        <f>ROUND((AD96*AE96+AF96*AG96+AH96*AI96),2)</f>
        <v>764781.31</v>
      </c>
      <c r="AK96" s="141">
        <f t="shared" si="92"/>
        <v>29360.82</v>
      </c>
      <c r="AL96" s="275"/>
      <c r="AM96" s="141">
        <f t="shared" si="93"/>
        <v>36645.26</v>
      </c>
      <c r="AN96" s="275"/>
      <c r="AO96" s="141">
        <f t="shared" si="94"/>
        <v>34889.949999999997</v>
      </c>
      <c r="AP96" s="275"/>
      <c r="AQ96" s="142">
        <f>ROUND((AK96*AL96+AM96*AN96+AO96*AP96),2)</f>
        <v>0</v>
      </c>
      <c r="AR96" s="141">
        <f t="shared" si="95"/>
        <v>35718.379999999997</v>
      </c>
      <c r="AS96" s="275"/>
      <c r="AT96" s="142">
        <f>ROUND((AR96*AS96),2)</f>
        <v>0</v>
      </c>
      <c r="AU96" s="143">
        <f>AT96+AQ96+AJ96+AC96+X96+Q96+J96</f>
        <v>12317341.33</v>
      </c>
      <c r="AV96" s="275"/>
      <c r="AW96" s="141">
        <f t="shared" si="96"/>
        <v>65258.22</v>
      </c>
      <c r="AX96" s="276"/>
      <c r="AY96" s="141">
        <f t="shared" si="97"/>
        <v>81192.94</v>
      </c>
      <c r="AZ96" s="277"/>
      <c r="BA96" s="141">
        <f t="shared" si="98"/>
        <v>77353.2</v>
      </c>
      <c r="BB96" s="274"/>
      <c r="BC96" s="142">
        <f>ROUND((AW96*AX96+AY96*AZ96+BA96*BB96),2)</f>
        <v>0</v>
      </c>
      <c r="BD96" s="141">
        <f t="shared" si="99"/>
        <v>77787.27</v>
      </c>
      <c r="BE96" s="274"/>
      <c r="BF96" s="141">
        <f t="shared" si="100"/>
        <v>96908.93</v>
      </c>
      <c r="BG96" s="274"/>
      <c r="BH96" s="142">
        <f>ROUND((BD96*BE96+BF96*BG96),2)</f>
        <v>0</v>
      </c>
      <c r="BI96" s="144">
        <f>BH96+BC96</f>
        <v>0</v>
      </c>
      <c r="BJ96" s="141">
        <f t="shared" si="101"/>
        <v>25708.01</v>
      </c>
      <c r="BK96" s="274"/>
      <c r="BL96" s="141">
        <f t="shared" si="102"/>
        <v>27763.9</v>
      </c>
      <c r="BM96" s="274"/>
      <c r="BN96" s="141">
        <f t="shared" si="103"/>
        <v>23851.91</v>
      </c>
      <c r="BO96" s="274"/>
      <c r="BP96" s="142">
        <f>ROUND((BJ96*BK96+BL96*BM96+BN96*BO96),2)</f>
        <v>0</v>
      </c>
      <c r="BQ96" s="141">
        <f t="shared" si="104"/>
        <v>29360.82</v>
      </c>
      <c r="BR96" s="274"/>
      <c r="BS96" s="141">
        <f t="shared" si="105"/>
        <v>36645.26</v>
      </c>
      <c r="BT96" s="274"/>
      <c r="BU96" s="141">
        <f t="shared" si="106"/>
        <v>34889.949999999997</v>
      </c>
      <c r="BV96" s="274"/>
      <c r="BW96" s="142">
        <f>ROUND((BQ96*BR96+BS96*BT96+BU96*BV96),2)</f>
        <v>0</v>
      </c>
      <c r="BX96" s="252">
        <f t="shared" si="115"/>
        <v>335</v>
      </c>
      <c r="BY96" s="117"/>
      <c r="BZ96" s="117"/>
    </row>
    <row r="97" spans="1:78" s="116" customFormat="1" ht="16.5">
      <c r="A97" s="122"/>
      <c r="B97" s="278" t="s">
        <v>475</v>
      </c>
      <c r="C97" s="250"/>
      <c r="D97" s="141">
        <f t="shared" si="78"/>
        <v>31250.82</v>
      </c>
      <c r="E97" s="255">
        <v>24</v>
      </c>
      <c r="F97" s="141">
        <f t="shared" si="79"/>
        <v>38535.26</v>
      </c>
      <c r="G97" s="255">
        <v>41</v>
      </c>
      <c r="H97" s="141">
        <f t="shared" si="80"/>
        <v>36779.949999999997</v>
      </c>
      <c r="I97" s="255"/>
      <c r="J97" s="142">
        <f>ROUND((D97*E97+F97*G97+H97*I97),2)</f>
        <v>2329965.34</v>
      </c>
      <c r="K97" s="141">
        <f t="shared" si="81"/>
        <v>35546.49</v>
      </c>
      <c r="L97" s="261"/>
      <c r="M97" s="141">
        <f t="shared" si="82"/>
        <v>43923.6</v>
      </c>
      <c r="N97" s="255"/>
      <c r="O97" s="141">
        <f t="shared" si="83"/>
        <v>41904.99</v>
      </c>
      <c r="P97" s="255"/>
      <c r="Q97" s="142">
        <f>ROUND((K97*L97+M97*N97+O97*P97),2)</f>
        <v>0</v>
      </c>
      <c r="R97" s="141">
        <f t="shared" si="84"/>
        <v>41274.050000000003</v>
      </c>
      <c r="S97" s="261"/>
      <c r="T97" s="141">
        <f t="shared" si="85"/>
        <v>51108.05</v>
      </c>
      <c r="U97" s="261"/>
      <c r="V97" s="141">
        <f t="shared" si="86"/>
        <v>48738.38</v>
      </c>
      <c r="W97" s="261"/>
      <c r="X97" s="142">
        <f>ROUND((R97*S97+T97*U97+V97*W97),2)</f>
        <v>0</v>
      </c>
      <c r="Y97" s="141">
        <f t="shared" si="87"/>
        <v>45569.73</v>
      </c>
      <c r="Z97" s="261"/>
      <c r="AA97" s="141">
        <f t="shared" si="88"/>
        <v>56496.39</v>
      </c>
      <c r="AB97" s="255"/>
      <c r="AC97" s="142">
        <f>ROUND((Y97*Z97+AA97*AB97),2)</f>
        <v>0</v>
      </c>
      <c r="AD97" s="141">
        <f t="shared" si="89"/>
        <v>54161.08</v>
      </c>
      <c r="AE97" s="255">
        <v>1</v>
      </c>
      <c r="AF97" s="141">
        <f t="shared" si="90"/>
        <v>67273.070000000007</v>
      </c>
      <c r="AG97" s="255">
        <v>2</v>
      </c>
      <c r="AH97" s="141">
        <f t="shared" si="91"/>
        <v>64113.51</v>
      </c>
      <c r="AI97" s="261"/>
      <c r="AJ97" s="142">
        <f>ROUND((AD97*AE97+AF97*AG97+AH97*AI97),2)</f>
        <v>188707.22</v>
      </c>
      <c r="AK97" s="141">
        <f t="shared" si="92"/>
        <v>29360.82</v>
      </c>
      <c r="AL97" s="261"/>
      <c r="AM97" s="141">
        <f t="shared" si="93"/>
        <v>36645.26</v>
      </c>
      <c r="AN97" s="261"/>
      <c r="AO97" s="141">
        <f t="shared" si="94"/>
        <v>34889.949999999997</v>
      </c>
      <c r="AP97" s="261"/>
      <c r="AQ97" s="142">
        <f>ROUND((AK97*AL97+AM97*AN97+AO97*AP97),2)</f>
        <v>0</v>
      </c>
      <c r="AR97" s="141">
        <f t="shared" si="95"/>
        <v>35718.379999999997</v>
      </c>
      <c r="AS97" s="261">
        <v>31</v>
      </c>
      <c r="AT97" s="142">
        <f>ROUND((AR97*AS97),2)</f>
        <v>1107269.78</v>
      </c>
      <c r="AU97" s="143">
        <f>AT97+AQ97+AJ97+AC97+X97+Q97+J97</f>
        <v>3625942.34</v>
      </c>
      <c r="AV97" s="261"/>
      <c r="AW97" s="141">
        <f t="shared" si="96"/>
        <v>65258.22</v>
      </c>
      <c r="AX97" s="261"/>
      <c r="AY97" s="141">
        <f t="shared" si="97"/>
        <v>81192.94</v>
      </c>
      <c r="AZ97" s="261"/>
      <c r="BA97" s="141">
        <f t="shared" si="98"/>
        <v>77353.2</v>
      </c>
      <c r="BB97" s="261"/>
      <c r="BC97" s="142">
        <f>ROUND((AW97*AX97+AY97*AZ97+BA97*BB97),2)</f>
        <v>0</v>
      </c>
      <c r="BD97" s="141">
        <f t="shared" si="99"/>
        <v>77787.27</v>
      </c>
      <c r="BE97" s="261"/>
      <c r="BF97" s="141">
        <f t="shared" si="100"/>
        <v>96908.93</v>
      </c>
      <c r="BG97" s="261"/>
      <c r="BH97" s="142">
        <f>ROUND((BD97*BE97+BF97*BG97),2)</f>
        <v>0</v>
      </c>
      <c r="BI97" s="144">
        <f>BH97+BC97</f>
        <v>0</v>
      </c>
      <c r="BJ97" s="141">
        <f t="shared" si="101"/>
        <v>25708.01</v>
      </c>
      <c r="BK97" s="261"/>
      <c r="BL97" s="141">
        <f t="shared" si="102"/>
        <v>27763.9</v>
      </c>
      <c r="BM97" s="261"/>
      <c r="BN97" s="141">
        <f t="shared" si="103"/>
        <v>23851.91</v>
      </c>
      <c r="BO97" s="261"/>
      <c r="BP97" s="142">
        <f>ROUND((BJ97*BK97+BL97*BM97+BN97*BO97),2)</f>
        <v>0</v>
      </c>
      <c r="BQ97" s="141">
        <f t="shared" si="104"/>
        <v>29360.82</v>
      </c>
      <c r="BR97" s="261"/>
      <c r="BS97" s="141">
        <f t="shared" si="105"/>
        <v>36645.26</v>
      </c>
      <c r="BT97" s="261"/>
      <c r="BU97" s="141">
        <f t="shared" si="106"/>
        <v>34889.949999999997</v>
      </c>
      <c r="BV97" s="261"/>
      <c r="BW97" s="142">
        <f>ROUND((BQ97*BR97+BS97*BT97+BU97*BV97),2)</f>
        <v>0</v>
      </c>
      <c r="BX97" s="252">
        <f t="shared" si="115"/>
        <v>99</v>
      </c>
      <c r="BY97" s="117"/>
      <c r="BZ97" s="117"/>
    </row>
    <row r="98" spans="1:78" s="193" customFormat="1" ht="16.5">
      <c r="A98" s="198"/>
      <c r="B98" s="246" t="s">
        <v>476</v>
      </c>
      <c r="C98" s="259"/>
      <c r="D98" s="141">
        <f t="shared" si="78"/>
        <v>31250.82</v>
      </c>
      <c r="E98" s="264">
        <f>E96+E97</f>
        <v>159</v>
      </c>
      <c r="F98" s="141">
        <f t="shared" si="79"/>
        <v>38535.26</v>
      </c>
      <c r="G98" s="264">
        <f>G96+G97</f>
        <v>178</v>
      </c>
      <c r="H98" s="141">
        <f t="shared" si="80"/>
        <v>36779.949999999997</v>
      </c>
      <c r="I98" s="264">
        <f>I96+I97</f>
        <v>26</v>
      </c>
      <c r="J98" s="258">
        <f>SUM(J96:J97)</f>
        <v>12784435.359999999</v>
      </c>
      <c r="K98" s="141">
        <f t="shared" si="81"/>
        <v>35546.49</v>
      </c>
      <c r="L98" s="258">
        <f>SUM(L96:L97)</f>
        <v>0</v>
      </c>
      <c r="M98" s="141">
        <f t="shared" si="82"/>
        <v>43923.6</v>
      </c>
      <c r="N98" s="264">
        <f>N96+N97</f>
        <v>25</v>
      </c>
      <c r="O98" s="141">
        <f t="shared" si="83"/>
        <v>41904.99</v>
      </c>
      <c r="P98" s="264">
        <f>P96+P97</f>
        <v>0</v>
      </c>
      <c r="Q98" s="258">
        <f>SUM(Q96:Q97)</f>
        <v>1098090</v>
      </c>
      <c r="R98" s="141">
        <f t="shared" si="84"/>
        <v>41274.050000000003</v>
      </c>
      <c r="S98" s="258">
        <f>SUM(S96:S97)</f>
        <v>0</v>
      </c>
      <c r="T98" s="141">
        <f t="shared" si="85"/>
        <v>51108.05</v>
      </c>
      <c r="U98" s="258">
        <f>SUM(U96:U97)</f>
        <v>0</v>
      </c>
      <c r="V98" s="141">
        <f t="shared" si="86"/>
        <v>48738.38</v>
      </c>
      <c r="W98" s="258">
        <f>SUM(W96:W97)</f>
        <v>0</v>
      </c>
      <c r="X98" s="258">
        <f>SUM(X96:X97)</f>
        <v>0</v>
      </c>
      <c r="Y98" s="141">
        <f t="shared" si="87"/>
        <v>45569.73</v>
      </c>
      <c r="Z98" s="258">
        <f>SUM(Z96:Z97)</f>
        <v>0</v>
      </c>
      <c r="AA98" s="141">
        <f t="shared" si="88"/>
        <v>56496.39</v>
      </c>
      <c r="AB98" s="264">
        <f>AB96+AB97</f>
        <v>0</v>
      </c>
      <c r="AC98" s="258">
        <f>SUM(AC96:AC97)</f>
        <v>0</v>
      </c>
      <c r="AD98" s="141">
        <f t="shared" si="89"/>
        <v>54161.08</v>
      </c>
      <c r="AE98" s="264">
        <f>AE96+AE97</f>
        <v>4</v>
      </c>
      <c r="AF98" s="141">
        <f t="shared" si="90"/>
        <v>67273.070000000007</v>
      </c>
      <c r="AG98" s="264">
        <f>AG96+AG97</f>
        <v>10</v>
      </c>
      <c r="AH98" s="141">
        <f t="shared" si="91"/>
        <v>64113.51</v>
      </c>
      <c r="AI98" s="258">
        <f>SUM(AI96:AI97)</f>
        <v>1</v>
      </c>
      <c r="AJ98" s="258">
        <f>SUM(AJ96:AJ97)</f>
        <v>953488.53</v>
      </c>
      <c r="AK98" s="141">
        <f t="shared" si="92"/>
        <v>29360.82</v>
      </c>
      <c r="AL98" s="258">
        <f>SUM(AL96:AL97)</f>
        <v>0</v>
      </c>
      <c r="AM98" s="141">
        <f t="shared" si="93"/>
        <v>36645.26</v>
      </c>
      <c r="AN98" s="258">
        <f>SUM(AN96:AN97)</f>
        <v>0</v>
      </c>
      <c r="AO98" s="141">
        <f t="shared" si="94"/>
        <v>34889.949999999997</v>
      </c>
      <c r="AP98" s="258">
        <f>SUM(AP96:AP97)</f>
        <v>0</v>
      </c>
      <c r="AQ98" s="258">
        <f>SUM(AQ96:AQ97)</f>
        <v>0</v>
      </c>
      <c r="AR98" s="141">
        <f t="shared" si="95"/>
        <v>35718.379999999997</v>
      </c>
      <c r="AS98" s="258">
        <f>SUM(AS96:AS97)</f>
        <v>31</v>
      </c>
      <c r="AT98" s="258">
        <f>SUM(AT96:AT97)</f>
        <v>1107269.78</v>
      </c>
      <c r="AU98" s="1066">
        <f>SUM(AU96:AU97)</f>
        <v>15943283.67</v>
      </c>
      <c r="AV98" s="258">
        <f>'старое не смотреть'!D143</f>
        <v>22585099.09</v>
      </c>
      <c r="AW98" s="141">
        <f t="shared" si="96"/>
        <v>65258.22</v>
      </c>
      <c r="AX98" s="258">
        <f>SUM(AX96:AX97)</f>
        <v>0</v>
      </c>
      <c r="AY98" s="141">
        <f t="shared" si="97"/>
        <v>81192.94</v>
      </c>
      <c r="AZ98" s="258">
        <f>SUM(AZ96:AZ97)</f>
        <v>0</v>
      </c>
      <c r="BA98" s="141">
        <f t="shared" si="98"/>
        <v>77353.2</v>
      </c>
      <c r="BB98" s="258">
        <f>SUM(BB96:BB97)</f>
        <v>0</v>
      </c>
      <c r="BC98" s="258">
        <f>SUM(BC96:BC97)</f>
        <v>0</v>
      </c>
      <c r="BD98" s="141">
        <f t="shared" si="99"/>
        <v>77787.27</v>
      </c>
      <c r="BE98" s="258">
        <f>SUM(BE96:BE97)</f>
        <v>0</v>
      </c>
      <c r="BF98" s="141">
        <f t="shared" si="100"/>
        <v>96908.93</v>
      </c>
      <c r="BG98" s="258">
        <f>SUM(BG96:BG97)</f>
        <v>0</v>
      </c>
      <c r="BH98" s="258">
        <f>SUM(BH96:BH97)</f>
        <v>0</v>
      </c>
      <c r="BI98" s="258">
        <f>SUM(BI96:BI97)</f>
        <v>0</v>
      </c>
      <c r="BJ98" s="141">
        <f t="shared" si="101"/>
        <v>25708.01</v>
      </c>
      <c r="BK98" s="258">
        <f>SUM(BK96:BK97)</f>
        <v>0</v>
      </c>
      <c r="BL98" s="141">
        <f t="shared" si="102"/>
        <v>27763.9</v>
      </c>
      <c r="BM98" s="258">
        <f>SUM(BM96:BM97)</f>
        <v>0</v>
      </c>
      <c r="BN98" s="141">
        <f t="shared" si="103"/>
        <v>23851.91</v>
      </c>
      <c r="BO98" s="258">
        <f>SUM(BO96:BO97)</f>
        <v>0</v>
      </c>
      <c r="BP98" s="258">
        <f>SUM(BP96:BP97)</f>
        <v>0</v>
      </c>
      <c r="BQ98" s="141">
        <f t="shared" si="104"/>
        <v>29360.82</v>
      </c>
      <c r="BR98" s="258">
        <f t="shared" ref="BR98:BZ98" si="117">SUM(BR96:BR97)</f>
        <v>0</v>
      </c>
      <c r="BS98" s="141">
        <f t="shared" si="105"/>
        <v>36645.26</v>
      </c>
      <c r="BT98" s="258">
        <f t="shared" si="117"/>
        <v>0</v>
      </c>
      <c r="BU98" s="141">
        <f t="shared" si="106"/>
        <v>34889.949999999997</v>
      </c>
      <c r="BV98" s="258">
        <f t="shared" si="117"/>
        <v>0</v>
      </c>
      <c r="BW98" s="258">
        <f t="shared" si="117"/>
        <v>0</v>
      </c>
      <c r="BX98" s="258">
        <f t="shared" si="117"/>
        <v>434</v>
      </c>
      <c r="BY98" s="258">
        <f t="shared" si="117"/>
        <v>0</v>
      </c>
      <c r="BZ98" s="258">
        <f t="shared" si="117"/>
        <v>0</v>
      </c>
    </row>
    <row r="99" spans="1:78" s="116" customFormat="1" ht="38.25" thickBot="1">
      <c r="A99" s="194"/>
      <c r="B99" s="279" t="s">
        <v>477</v>
      </c>
      <c r="C99" s="280"/>
      <c r="D99" s="141">
        <f t="shared" si="78"/>
        <v>31250.82</v>
      </c>
      <c r="E99" s="233">
        <f>E89+E90+E95+E98</f>
        <v>978</v>
      </c>
      <c r="F99" s="141">
        <f t="shared" si="79"/>
        <v>38535.26</v>
      </c>
      <c r="G99" s="233">
        <f t="shared" ref="G99:BP99" si="118">G89+G90+G95+G98</f>
        <v>804</v>
      </c>
      <c r="H99" s="141">
        <f t="shared" si="80"/>
        <v>36779.949999999997</v>
      </c>
      <c r="I99" s="233">
        <f t="shared" si="118"/>
        <v>84</v>
      </c>
      <c r="J99" s="233">
        <f t="shared" si="118"/>
        <v>64635166.800000012</v>
      </c>
      <c r="K99" s="141">
        <f t="shared" si="81"/>
        <v>35546.49</v>
      </c>
      <c r="L99" s="233">
        <f t="shared" si="118"/>
        <v>0</v>
      </c>
      <c r="M99" s="141">
        <f t="shared" si="82"/>
        <v>43923.6</v>
      </c>
      <c r="N99" s="233">
        <f t="shared" si="118"/>
        <v>277</v>
      </c>
      <c r="O99" s="141">
        <f t="shared" si="83"/>
        <v>41904.99</v>
      </c>
      <c r="P99" s="233">
        <f t="shared" si="118"/>
        <v>126</v>
      </c>
      <c r="Q99" s="233">
        <f t="shared" si="118"/>
        <v>17446865.940000001</v>
      </c>
      <c r="R99" s="141">
        <f t="shared" si="84"/>
        <v>41274.050000000003</v>
      </c>
      <c r="S99" s="233">
        <f t="shared" si="118"/>
        <v>0</v>
      </c>
      <c r="T99" s="141">
        <f t="shared" si="85"/>
        <v>51108.05</v>
      </c>
      <c r="U99" s="233">
        <f t="shared" si="118"/>
        <v>0</v>
      </c>
      <c r="V99" s="141">
        <f t="shared" si="86"/>
        <v>48738.38</v>
      </c>
      <c r="W99" s="233">
        <f t="shared" si="118"/>
        <v>0</v>
      </c>
      <c r="X99" s="233">
        <f t="shared" si="118"/>
        <v>0</v>
      </c>
      <c r="Y99" s="141">
        <f t="shared" si="87"/>
        <v>45569.73</v>
      </c>
      <c r="Z99" s="233">
        <f t="shared" si="118"/>
        <v>0</v>
      </c>
      <c r="AA99" s="141">
        <f t="shared" si="88"/>
        <v>56496.39</v>
      </c>
      <c r="AB99" s="233">
        <f t="shared" si="118"/>
        <v>34</v>
      </c>
      <c r="AC99" s="233">
        <f t="shared" si="118"/>
        <v>1920877.2600000002</v>
      </c>
      <c r="AD99" s="141">
        <f t="shared" si="89"/>
        <v>54161.08</v>
      </c>
      <c r="AE99" s="233">
        <f t="shared" si="118"/>
        <v>38</v>
      </c>
      <c r="AF99" s="141">
        <f t="shared" si="90"/>
        <v>67273.070000000007</v>
      </c>
      <c r="AG99" s="233">
        <f t="shared" si="118"/>
        <v>54</v>
      </c>
      <c r="AH99" s="141">
        <f t="shared" si="91"/>
        <v>64113.51</v>
      </c>
      <c r="AI99" s="233">
        <f t="shared" si="118"/>
        <v>4</v>
      </c>
      <c r="AJ99" s="233">
        <f t="shared" si="118"/>
        <v>5947320.8600000003</v>
      </c>
      <c r="AK99" s="141">
        <f t="shared" si="92"/>
        <v>29360.82</v>
      </c>
      <c r="AL99" s="233">
        <f t="shared" si="118"/>
        <v>0</v>
      </c>
      <c r="AM99" s="141">
        <f t="shared" si="93"/>
        <v>36645.26</v>
      </c>
      <c r="AN99" s="233">
        <f t="shared" si="118"/>
        <v>0</v>
      </c>
      <c r="AO99" s="141">
        <f t="shared" si="94"/>
        <v>34889.949999999997</v>
      </c>
      <c r="AP99" s="233">
        <f t="shared" si="118"/>
        <v>0</v>
      </c>
      <c r="AQ99" s="233">
        <f t="shared" si="118"/>
        <v>0</v>
      </c>
      <c r="AR99" s="141">
        <f t="shared" si="95"/>
        <v>35718.379999999997</v>
      </c>
      <c r="AS99" s="233">
        <f t="shared" si="118"/>
        <v>45</v>
      </c>
      <c r="AT99" s="233">
        <f t="shared" si="118"/>
        <v>1607327.1</v>
      </c>
      <c r="AU99" s="1067">
        <f t="shared" si="118"/>
        <v>91557557.959999993</v>
      </c>
      <c r="AV99" s="233">
        <f>SUM(AV89:AV98)-BP99</f>
        <v>113767130.87</v>
      </c>
      <c r="AW99" s="141">
        <f t="shared" si="96"/>
        <v>65258.22</v>
      </c>
      <c r="AX99" s="233">
        <f t="shared" si="118"/>
        <v>0</v>
      </c>
      <c r="AY99" s="141">
        <f t="shared" si="97"/>
        <v>81192.94</v>
      </c>
      <c r="AZ99" s="233">
        <f t="shared" si="118"/>
        <v>0</v>
      </c>
      <c r="BA99" s="141">
        <f t="shared" si="98"/>
        <v>77353.2</v>
      </c>
      <c r="BB99" s="233">
        <f t="shared" si="118"/>
        <v>0</v>
      </c>
      <c r="BC99" s="233">
        <f t="shared" si="118"/>
        <v>0</v>
      </c>
      <c r="BD99" s="141">
        <f t="shared" si="99"/>
        <v>77787.27</v>
      </c>
      <c r="BE99" s="233">
        <f t="shared" si="118"/>
        <v>0</v>
      </c>
      <c r="BF99" s="141">
        <f t="shared" si="100"/>
        <v>96908.93</v>
      </c>
      <c r="BG99" s="233">
        <f t="shared" si="118"/>
        <v>0</v>
      </c>
      <c r="BH99" s="233">
        <f t="shared" si="118"/>
        <v>0</v>
      </c>
      <c r="BI99" s="233">
        <f t="shared" si="118"/>
        <v>0</v>
      </c>
      <c r="BJ99" s="141">
        <f t="shared" si="101"/>
        <v>25708.01</v>
      </c>
      <c r="BK99" s="233">
        <f t="shared" si="118"/>
        <v>0</v>
      </c>
      <c r="BL99" s="141">
        <f t="shared" si="102"/>
        <v>27763.9</v>
      </c>
      <c r="BM99" s="233">
        <f t="shared" si="118"/>
        <v>0</v>
      </c>
      <c r="BN99" s="141">
        <f t="shared" si="103"/>
        <v>23851.91</v>
      </c>
      <c r="BO99" s="233">
        <f t="shared" si="118"/>
        <v>59</v>
      </c>
      <c r="BP99" s="233">
        <f t="shared" si="118"/>
        <v>1407262.69</v>
      </c>
      <c r="BQ99" s="141">
        <f t="shared" si="104"/>
        <v>29360.82</v>
      </c>
      <c r="BR99" s="233">
        <f t="shared" ref="BR99:BZ99" si="119">BR89+BR90+BR95+BR98</f>
        <v>0</v>
      </c>
      <c r="BS99" s="141">
        <f t="shared" si="105"/>
        <v>36645.26</v>
      </c>
      <c r="BT99" s="233">
        <f t="shared" si="119"/>
        <v>0</v>
      </c>
      <c r="BU99" s="141">
        <f t="shared" si="106"/>
        <v>34889.949999999997</v>
      </c>
      <c r="BV99" s="233">
        <f t="shared" si="119"/>
        <v>0</v>
      </c>
      <c r="BW99" s="233">
        <f t="shared" si="119"/>
        <v>0</v>
      </c>
      <c r="BX99" s="233">
        <f t="shared" si="119"/>
        <v>2503</v>
      </c>
      <c r="BY99" s="233" t="e">
        <f t="shared" si="119"/>
        <v>#VALUE!</v>
      </c>
      <c r="BZ99" s="233">
        <f t="shared" si="119"/>
        <v>0</v>
      </c>
    </row>
    <row r="100" spans="1:78" ht="17.45" customHeight="1">
      <c r="A100" s="1645" t="s">
        <v>99</v>
      </c>
      <c r="B100" s="1646"/>
      <c r="C100" s="1647"/>
      <c r="D100" s="141">
        <f t="shared" si="78"/>
        <v>31250.82</v>
      </c>
      <c r="F100" s="141">
        <f t="shared" si="79"/>
        <v>38535.26</v>
      </c>
      <c r="H100" s="141">
        <f t="shared" si="80"/>
        <v>36779.949999999997</v>
      </c>
      <c r="K100" s="141">
        <f t="shared" si="81"/>
        <v>35546.49</v>
      </c>
      <c r="M100" s="141">
        <f t="shared" si="82"/>
        <v>43923.6</v>
      </c>
      <c r="O100" s="141">
        <f t="shared" si="83"/>
        <v>41904.99</v>
      </c>
      <c r="R100" s="141">
        <f t="shared" si="84"/>
        <v>41274.050000000003</v>
      </c>
      <c r="T100" s="141">
        <f t="shared" si="85"/>
        <v>51108.05</v>
      </c>
      <c r="V100" s="141">
        <f t="shared" si="86"/>
        <v>48738.38</v>
      </c>
      <c r="Y100" s="141">
        <f t="shared" si="87"/>
        <v>45569.73</v>
      </c>
      <c r="AA100" s="141">
        <f t="shared" si="88"/>
        <v>56496.39</v>
      </c>
      <c r="AD100" s="141">
        <f t="shared" si="89"/>
        <v>54161.08</v>
      </c>
      <c r="AF100" s="141">
        <f t="shared" si="90"/>
        <v>67273.070000000007</v>
      </c>
      <c r="AH100" s="141">
        <f t="shared" si="91"/>
        <v>64113.51</v>
      </c>
      <c r="AK100" s="141">
        <f t="shared" si="92"/>
        <v>29360.82</v>
      </c>
      <c r="AM100" s="141">
        <f t="shared" si="93"/>
        <v>36645.26</v>
      </c>
      <c r="AO100" s="141">
        <f t="shared" si="94"/>
        <v>34889.949999999997</v>
      </c>
      <c r="AR100" s="141">
        <f t="shared" si="95"/>
        <v>35718.379999999997</v>
      </c>
      <c r="AW100" s="141">
        <f t="shared" si="96"/>
        <v>65258.22</v>
      </c>
      <c r="AY100" s="141">
        <f t="shared" si="97"/>
        <v>81192.94</v>
      </c>
      <c r="BA100" s="141">
        <f t="shared" si="98"/>
        <v>77353.2</v>
      </c>
      <c r="BD100" s="141">
        <f t="shared" si="99"/>
        <v>77787.27</v>
      </c>
      <c r="BF100" s="141">
        <f t="shared" si="100"/>
        <v>96908.93</v>
      </c>
      <c r="BJ100" s="141">
        <f t="shared" si="101"/>
        <v>25708.01</v>
      </c>
      <c r="BL100" s="141">
        <f t="shared" si="102"/>
        <v>27763.9</v>
      </c>
      <c r="BN100" s="141">
        <f t="shared" si="103"/>
        <v>23851.91</v>
      </c>
      <c r="BQ100" s="141">
        <f t="shared" si="104"/>
        <v>29360.82</v>
      </c>
      <c r="BS100" s="141">
        <f t="shared" si="105"/>
        <v>36645.26</v>
      </c>
      <c r="BU100" s="141">
        <f t="shared" si="106"/>
        <v>34889.949999999997</v>
      </c>
      <c r="BY100" s="178"/>
      <c r="BZ100" s="178"/>
    </row>
    <row r="101" spans="1:78" ht="19.5" thickBot="1">
      <c r="A101" s="194"/>
      <c r="B101" s="279" t="s">
        <v>478</v>
      </c>
      <c r="C101" s="280"/>
      <c r="D101" s="141">
        <f t="shared" si="78"/>
        <v>31250.82</v>
      </c>
      <c r="E101" s="247">
        <v>0</v>
      </c>
      <c r="F101" s="141">
        <f t="shared" si="79"/>
        <v>38535.26</v>
      </c>
      <c r="G101" s="247">
        <v>0</v>
      </c>
      <c r="H101" s="141">
        <f t="shared" si="80"/>
        <v>36779.949999999997</v>
      </c>
      <c r="I101" s="247">
        <v>0</v>
      </c>
      <c r="J101" s="247">
        <v>0</v>
      </c>
      <c r="K101" s="141">
        <f t="shared" si="81"/>
        <v>35546.49</v>
      </c>
      <c r="L101" s="247">
        <v>0</v>
      </c>
      <c r="M101" s="141">
        <f t="shared" si="82"/>
        <v>43923.6</v>
      </c>
      <c r="N101" s="247">
        <v>0</v>
      </c>
      <c r="O101" s="141">
        <f t="shared" si="83"/>
        <v>41904.99</v>
      </c>
      <c r="P101" s="247">
        <v>0</v>
      </c>
      <c r="Q101" s="247">
        <v>0</v>
      </c>
      <c r="R101" s="141">
        <f t="shared" si="84"/>
        <v>41274.050000000003</v>
      </c>
      <c r="S101" s="247">
        <v>0</v>
      </c>
      <c r="T101" s="141">
        <f t="shared" si="85"/>
        <v>51108.05</v>
      </c>
      <c r="U101" s="247">
        <v>0</v>
      </c>
      <c r="V101" s="141">
        <f t="shared" si="86"/>
        <v>48738.38</v>
      </c>
      <c r="W101" s="247">
        <v>0</v>
      </c>
      <c r="X101" s="247">
        <v>0</v>
      </c>
      <c r="Y101" s="141">
        <f t="shared" si="87"/>
        <v>45569.73</v>
      </c>
      <c r="Z101" s="247">
        <v>0</v>
      </c>
      <c r="AA101" s="141">
        <f t="shared" si="88"/>
        <v>56496.39</v>
      </c>
      <c r="AB101" s="247">
        <v>0</v>
      </c>
      <c r="AC101" s="247">
        <v>0</v>
      </c>
      <c r="AD101" s="141">
        <f t="shared" si="89"/>
        <v>54161.08</v>
      </c>
      <c r="AE101" s="247">
        <v>0</v>
      </c>
      <c r="AF101" s="141">
        <f t="shared" si="90"/>
        <v>67273.070000000007</v>
      </c>
      <c r="AG101" s="247">
        <v>0</v>
      </c>
      <c r="AH101" s="141">
        <f t="shared" si="91"/>
        <v>64113.51</v>
      </c>
      <c r="AI101" s="247">
        <v>0</v>
      </c>
      <c r="AJ101" s="247">
        <v>0</v>
      </c>
      <c r="AK101" s="141">
        <f t="shared" si="92"/>
        <v>29360.82</v>
      </c>
      <c r="AL101" s="247">
        <v>0</v>
      </c>
      <c r="AM101" s="141">
        <f t="shared" si="93"/>
        <v>36645.26</v>
      </c>
      <c r="AN101" s="247">
        <v>0</v>
      </c>
      <c r="AO101" s="141">
        <f t="shared" si="94"/>
        <v>34889.949999999997</v>
      </c>
      <c r="AP101" s="247">
        <v>0</v>
      </c>
      <c r="AQ101" s="247">
        <v>0</v>
      </c>
      <c r="AR101" s="141">
        <f t="shared" si="95"/>
        <v>35718.379999999997</v>
      </c>
      <c r="AS101" s="247">
        <v>0</v>
      </c>
      <c r="AT101" s="247">
        <v>0</v>
      </c>
      <c r="AU101" s="382">
        <v>0</v>
      </c>
      <c r="AV101" s="247">
        <v>0</v>
      </c>
      <c r="AW101" s="141">
        <f t="shared" si="96"/>
        <v>65258.22</v>
      </c>
      <c r="AX101" s="247">
        <v>0</v>
      </c>
      <c r="AY101" s="141">
        <f t="shared" si="97"/>
        <v>81192.94</v>
      </c>
      <c r="AZ101" s="247">
        <v>0</v>
      </c>
      <c r="BA101" s="141">
        <f t="shared" si="98"/>
        <v>77353.2</v>
      </c>
      <c r="BB101" s="247">
        <v>0</v>
      </c>
      <c r="BC101" s="247">
        <v>0</v>
      </c>
      <c r="BD101" s="141">
        <f t="shared" si="99"/>
        <v>77787.27</v>
      </c>
      <c r="BE101" s="247">
        <v>0</v>
      </c>
      <c r="BF101" s="141">
        <f t="shared" si="100"/>
        <v>96908.93</v>
      </c>
      <c r="BG101" s="247">
        <v>0</v>
      </c>
      <c r="BH101" s="247">
        <v>0</v>
      </c>
      <c r="BI101" s="247">
        <v>0</v>
      </c>
      <c r="BJ101" s="141">
        <f t="shared" si="101"/>
        <v>25708.01</v>
      </c>
      <c r="BK101" s="247">
        <v>0</v>
      </c>
      <c r="BL101" s="141">
        <f t="shared" si="102"/>
        <v>27763.9</v>
      </c>
      <c r="BM101" s="247">
        <v>0</v>
      </c>
      <c r="BN101" s="141">
        <f t="shared" si="103"/>
        <v>23851.91</v>
      </c>
      <c r="BO101" s="247">
        <v>0</v>
      </c>
      <c r="BP101" s="247">
        <v>0</v>
      </c>
      <c r="BQ101" s="141">
        <f t="shared" si="104"/>
        <v>29360.82</v>
      </c>
      <c r="BR101" s="247">
        <v>0</v>
      </c>
      <c r="BS101" s="141">
        <f t="shared" si="105"/>
        <v>36645.26</v>
      </c>
      <c r="BT101" s="247">
        <v>0</v>
      </c>
      <c r="BU101" s="141">
        <f t="shared" si="106"/>
        <v>34889.949999999997</v>
      </c>
      <c r="BV101" s="247">
        <v>0</v>
      </c>
      <c r="BW101" s="247">
        <v>0</v>
      </c>
      <c r="BX101" s="281">
        <v>0</v>
      </c>
      <c r="BY101" s="178"/>
      <c r="BZ101" s="178"/>
    </row>
    <row r="102" spans="1:78" ht="18.75">
      <c r="A102" s="1631" t="s">
        <v>100</v>
      </c>
      <c r="B102" s="1632"/>
      <c r="C102" s="1633"/>
      <c r="D102" s="141">
        <f t="shared" si="78"/>
        <v>31250.82</v>
      </c>
      <c r="F102" s="141">
        <f t="shared" si="79"/>
        <v>38535.26</v>
      </c>
      <c r="H102" s="141">
        <f t="shared" si="80"/>
        <v>36779.949999999997</v>
      </c>
      <c r="K102" s="141">
        <f t="shared" si="81"/>
        <v>35546.49</v>
      </c>
      <c r="M102" s="141">
        <f t="shared" si="82"/>
        <v>43923.6</v>
      </c>
      <c r="O102" s="141">
        <f t="shared" si="83"/>
        <v>41904.99</v>
      </c>
      <c r="R102" s="141">
        <f t="shared" si="84"/>
        <v>41274.050000000003</v>
      </c>
      <c r="T102" s="141">
        <f t="shared" si="85"/>
        <v>51108.05</v>
      </c>
      <c r="V102" s="141">
        <f t="shared" si="86"/>
        <v>48738.38</v>
      </c>
      <c r="Y102" s="141">
        <f t="shared" si="87"/>
        <v>45569.73</v>
      </c>
      <c r="AA102" s="141">
        <f t="shared" si="88"/>
        <v>56496.39</v>
      </c>
      <c r="AD102" s="141">
        <f t="shared" si="89"/>
        <v>54161.08</v>
      </c>
      <c r="AF102" s="141">
        <f t="shared" si="90"/>
        <v>67273.070000000007</v>
      </c>
      <c r="AH102" s="141">
        <f t="shared" si="91"/>
        <v>64113.51</v>
      </c>
      <c r="AK102" s="141">
        <f t="shared" si="92"/>
        <v>29360.82</v>
      </c>
      <c r="AM102" s="141">
        <f t="shared" si="93"/>
        <v>36645.26</v>
      </c>
      <c r="AO102" s="141">
        <f t="shared" si="94"/>
        <v>34889.949999999997</v>
      </c>
      <c r="AR102" s="141">
        <f t="shared" si="95"/>
        <v>35718.379999999997</v>
      </c>
      <c r="AW102" s="141">
        <f t="shared" si="96"/>
        <v>65258.22</v>
      </c>
      <c r="AY102" s="141">
        <f t="shared" si="97"/>
        <v>81192.94</v>
      </c>
      <c r="BA102" s="141">
        <f t="shared" si="98"/>
        <v>77353.2</v>
      </c>
      <c r="BD102" s="141">
        <f t="shared" si="99"/>
        <v>77787.27</v>
      </c>
      <c r="BF102" s="141">
        <f t="shared" si="100"/>
        <v>96908.93</v>
      </c>
      <c r="BJ102" s="141">
        <f t="shared" si="101"/>
        <v>25708.01</v>
      </c>
      <c r="BL102" s="141">
        <f t="shared" si="102"/>
        <v>27763.9</v>
      </c>
      <c r="BN102" s="141">
        <f t="shared" si="103"/>
        <v>23851.91</v>
      </c>
      <c r="BQ102" s="141">
        <f t="shared" si="104"/>
        <v>29360.82</v>
      </c>
      <c r="BS102" s="141">
        <f t="shared" si="105"/>
        <v>36645.26</v>
      </c>
      <c r="BU102" s="141">
        <f t="shared" si="106"/>
        <v>34889.949999999997</v>
      </c>
      <c r="BV102" s="178"/>
      <c r="BW102" s="142">
        <f>ROUND((BQ102*BR102+BS102*BT102+BU102*BV102),2)</f>
        <v>0</v>
      </c>
      <c r="BX102" s="186">
        <f>BV102+BT102+BR102+BO102+BM102+BK102+BG102+BE102+BB102+AZ102+AX102+AS102+AP102+AN102+AL102+AI102+AG102+AE102+AB102+Z102+W102+U102+S102+P102+N102+L102+I102+G102+E102</f>
        <v>0</v>
      </c>
      <c r="BY102" s="178"/>
      <c r="BZ102" s="178"/>
    </row>
    <row r="103" spans="1:78" s="116" customFormat="1" ht="16.5">
      <c r="A103" s="122" t="s">
        <v>396</v>
      </c>
      <c r="B103" s="123" t="s">
        <v>479</v>
      </c>
      <c r="C103" s="124" t="s">
        <v>388</v>
      </c>
      <c r="D103" s="141">
        <f t="shared" si="78"/>
        <v>31250.82</v>
      </c>
      <c r="E103" s="189">
        <v>233</v>
      </c>
      <c r="F103" s="141">
        <f t="shared" si="79"/>
        <v>38535.26</v>
      </c>
      <c r="G103" s="189">
        <v>264</v>
      </c>
      <c r="H103" s="141">
        <f t="shared" si="80"/>
        <v>36779.949999999997</v>
      </c>
      <c r="I103" s="189">
        <v>45</v>
      </c>
      <c r="J103" s="142">
        <f>ROUND((D103*E103+F103*G103+H103*I103),2)</f>
        <v>19109847.449999999</v>
      </c>
      <c r="K103" s="141">
        <f t="shared" si="81"/>
        <v>35546.49</v>
      </c>
      <c r="L103" s="113"/>
      <c r="M103" s="141">
        <f t="shared" si="82"/>
        <v>43923.6</v>
      </c>
      <c r="N103" s="113"/>
      <c r="O103" s="141">
        <f t="shared" si="83"/>
        <v>41904.99</v>
      </c>
      <c r="P103" s="113"/>
      <c r="Q103" s="142">
        <f>ROUND((K103*L103+M103*N103+O103*P103),2)</f>
        <v>0</v>
      </c>
      <c r="R103" s="141">
        <f t="shared" si="84"/>
        <v>41274.050000000003</v>
      </c>
      <c r="S103" s="111"/>
      <c r="T103" s="141">
        <f t="shared" si="85"/>
        <v>51108.05</v>
      </c>
      <c r="U103" s="111"/>
      <c r="V103" s="141">
        <f t="shared" si="86"/>
        <v>48738.38</v>
      </c>
      <c r="W103" s="111"/>
      <c r="X103" s="142">
        <f>ROUND((R103*S103+T103*U103+V103*W103),2)</f>
        <v>0</v>
      </c>
      <c r="Y103" s="141">
        <f t="shared" si="87"/>
        <v>45569.73</v>
      </c>
      <c r="Z103" s="111"/>
      <c r="AA103" s="141">
        <f t="shared" si="88"/>
        <v>56496.39</v>
      </c>
      <c r="AB103" s="111"/>
      <c r="AC103" s="142">
        <f>ROUND((Y103*Z103+AA103*AB103),2)</f>
        <v>0</v>
      </c>
      <c r="AD103" s="141">
        <f t="shared" si="89"/>
        <v>54161.08</v>
      </c>
      <c r="AE103" s="114">
        <v>3</v>
      </c>
      <c r="AF103" s="141">
        <f t="shared" si="90"/>
        <v>67273.070000000007</v>
      </c>
      <c r="AG103" s="114">
        <v>4</v>
      </c>
      <c r="AH103" s="141">
        <f t="shared" si="91"/>
        <v>64113.51</v>
      </c>
      <c r="AI103" s="113"/>
      <c r="AJ103" s="142">
        <f>ROUND((AD103*AE103+AF103*AG103+AH103*AI103),2)</f>
        <v>431575.52</v>
      </c>
      <c r="AK103" s="141">
        <f t="shared" si="92"/>
        <v>29360.82</v>
      </c>
      <c r="AL103" s="113"/>
      <c r="AM103" s="141">
        <f t="shared" si="93"/>
        <v>36645.26</v>
      </c>
      <c r="AN103" s="113"/>
      <c r="AO103" s="141">
        <f t="shared" si="94"/>
        <v>34889.949999999997</v>
      </c>
      <c r="AP103" s="113"/>
      <c r="AQ103" s="142">
        <f>ROUND((AK103*AL103+AM103*AN103+AO103*AP103),2)</f>
        <v>0</v>
      </c>
      <c r="AR103" s="141">
        <f t="shared" si="95"/>
        <v>35718.379999999997</v>
      </c>
      <c r="AS103" s="114"/>
      <c r="AT103" s="142">
        <f>ROUND((AR103*AS103),2)</f>
        <v>0</v>
      </c>
      <c r="AU103" s="143">
        <f>AT103+AQ103+AJ103+AC103+X103+Q103+J103</f>
        <v>19541422.969999999</v>
      </c>
      <c r="AV103" s="120"/>
      <c r="AW103" s="141">
        <f t="shared" si="96"/>
        <v>65258.22</v>
      </c>
      <c r="AX103" s="112"/>
      <c r="AY103" s="141">
        <f t="shared" si="97"/>
        <v>81192.94</v>
      </c>
      <c r="AZ103" s="112"/>
      <c r="BA103" s="141">
        <f t="shared" si="98"/>
        <v>77353.2</v>
      </c>
      <c r="BB103" s="112"/>
      <c r="BC103" s="142">
        <f>ROUND((AW103*AX103+AY103*AZ103+BA103*BB103),2)</f>
        <v>0</v>
      </c>
      <c r="BD103" s="141">
        <f t="shared" si="99"/>
        <v>77787.27</v>
      </c>
      <c r="BE103" s="111"/>
      <c r="BF103" s="141">
        <f t="shared" si="100"/>
        <v>96908.93</v>
      </c>
      <c r="BG103" s="111"/>
      <c r="BH103" s="142">
        <f>ROUND((BD103*BE103+BF103*BG103),2)</f>
        <v>0</v>
      </c>
      <c r="BI103" s="144">
        <f>BH103+BC103</f>
        <v>0</v>
      </c>
      <c r="BJ103" s="141">
        <f t="shared" si="101"/>
        <v>25708.01</v>
      </c>
      <c r="BK103" s="111"/>
      <c r="BL103" s="141">
        <f t="shared" si="102"/>
        <v>27763.9</v>
      </c>
      <c r="BM103" s="111"/>
      <c r="BN103" s="141">
        <f t="shared" si="103"/>
        <v>23851.91</v>
      </c>
      <c r="BO103" s="111">
        <v>4</v>
      </c>
      <c r="BP103" s="142">
        <f>ROUND((BJ103*BK103+BL103*BM103+BN103*BO103),2)</f>
        <v>95407.64</v>
      </c>
      <c r="BQ103" s="141">
        <f t="shared" si="104"/>
        <v>29360.82</v>
      </c>
      <c r="BR103" s="111"/>
      <c r="BS103" s="141">
        <f t="shared" si="105"/>
        <v>36645.26</v>
      </c>
      <c r="BT103" s="111"/>
      <c r="BU103" s="141">
        <f t="shared" si="106"/>
        <v>34889.949999999997</v>
      </c>
      <c r="BV103" s="111"/>
      <c r="BW103" s="142">
        <f>ROUND((BQ103*BR103+BS103*BT103+BU103*BV103),2)</f>
        <v>0</v>
      </c>
      <c r="BX103" s="186">
        <f>BV103+BT103+BR103+BO103+BM103+BK103+BG103+BE103+BB103+AZ103+AX103+AS103+AP103+AN103+AL103+AI103+AG103+AE103+AB103+Z103+W103+U103+S103+P103+N103+L103+I103+G103+E103</f>
        <v>553</v>
      </c>
      <c r="BY103" s="117"/>
      <c r="BZ103" s="117"/>
    </row>
    <row r="104" spans="1:78" s="116" customFormat="1" ht="16.5">
      <c r="A104" s="122" t="s">
        <v>398</v>
      </c>
      <c r="B104" s="123" t="s">
        <v>480</v>
      </c>
      <c r="C104" s="124" t="s">
        <v>388</v>
      </c>
      <c r="D104" s="141">
        <f t="shared" si="78"/>
        <v>31250.82</v>
      </c>
      <c r="E104" s="114">
        <v>224</v>
      </c>
      <c r="F104" s="141">
        <f t="shared" si="79"/>
        <v>38535.26</v>
      </c>
      <c r="G104" s="114">
        <v>270</v>
      </c>
      <c r="H104" s="141">
        <f t="shared" si="80"/>
        <v>36779.949999999997</v>
      </c>
      <c r="I104" s="114">
        <v>42</v>
      </c>
      <c r="J104" s="142">
        <f>ROUND((D104*E104+F104*G104+H104*I104),2)</f>
        <v>18949461.780000001</v>
      </c>
      <c r="K104" s="141">
        <f t="shared" si="81"/>
        <v>35546.49</v>
      </c>
      <c r="L104" s="113"/>
      <c r="M104" s="141">
        <f t="shared" si="82"/>
        <v>43923.6</v>
      </c>
      <c r="N104" s="113"/>
      <c r="O104" s="141">
        <f t="shared" si="83"/>
        <v>41904.99</v>
      </c>
      <c r="P104" s="113"/>
      <c r="Q104" s="142">
        <f>ROUND((K104*L104+M104*N104+O104*P104),2)</f>
        <v>0</v>
      </c>
      <c r="R104" s="141">
        <f t="shared" si="84"/>
        <v>41274.050000000003</v>
      </c>
      <c r="S104" s="111"/>
      <c r="T104" s="141">
        <f t="shared" si="85"/>
        <v>51108.05</v>
      </c>
      <c r="U104" s="111"/>
      <c r="V104" s="141">
        <f t="shared" si="86"/>
        <v>48738.38</v>
      </c>
      <c r="W104" s="111"/>
      <c r="X104" s="142">
        <f>ROUND((R104*S104+T104*U104+V104*W104),2)</f>
        <v>0</v>
      </c>
      <c r="Y104" s="141">
        <f t="shared" si="87"/>
        <v>45569.73</v>
      </c>
      <c r="Z104" s="111"/>
      <c r="AA104" s="141">
        <f t="shared" si="88"/>
        <v>56496.39</v>
      </c>
      <c r="AB104" s="111"/>
      <c r="AC104" s="142">
        <f>ROUND((Y104*Z104+AA104*AB104),2)</f>
        <v>0</v>
      </c>
      <c r="AD104" s="141">
        <f t="shared" si="89"/>
        <v>54161.08</v>
      </c>
      <c r="AE104" s="114">
        <v>1</v>
      </c>
      <c r="AF104" s="141">
        <f t="shared" si="90"/>
        <v>67273.070000000007</v>
      </c>
      <c r="AG104" s="114">
        <v>10</v>
      </c>
      <c r="AH104" s="141">
        <f t="shared" si="91"/>
        <v>64113.51</v>
      </c>
      <c r="AI104" s="113"/>
      <c r="AJ104" s="142">
        <f>ROUND((AD104*AE104+AF104*AG104+AH104*AI104),2)</f>
        <v>726891.78</v>
      </c>
      <c r="AK104" s="141">
        <f t="shared" si="92"/>
        <v>29360.82</v>
      </c>
      <c r="AL104" s="113"/>
      <c r="AM104" s="141">
        <f t="shared" si="93"/>
        <v>36645.26</v>
      </c>
      <c r="AN104" s="113"/>
      <c r="AO104" s="141">
        <f t="shared" si="94"/>
        <v>34889.949999999997</v>
      </c>
      <c r="AP104" s="113"/>
      <c r="AQ104" s="142">
        <f>ROUND((AK104*AL104+AM104*AN104+AO104*AP104),2)</f>
        <v>0</v>
      </c>
      <c r="AR104" s="141">
        <f t="shared" si="95"/>
        <v>35718.379999999997</v>
      </c>
      <c r="AS104" s="114"/>
      <c r="AT104" s="142">
        <f>ROUND((AR104*AS104),2)</f>
        <v>0</v>
      </c>
      <c r="AU104" s="143">
        <f>AT104+AQ104+AJ104+AC104+X104+Q104+J104</f>
        <v>19676353.560000002</v>
      </c>
      <c r="AV104" s="120"/>
      <c r="AW104" s="141">
        <f t="shared" si="96"/>
        <v>65258.22</v>
      </c>
      <c r="AX104" s="112"/>
      <c r="AY104" s="141">
        <f t="shared" si="97"/>
        <v>81192.94</v>
      </c>
      <c r="AZ104" s="112"/>
      <c r="BA104" s="141">
        <f t="shared" si="98"/>
        <v>77353.2</v>
      </c>
      <c r="BB104" s="112"/>
      <c r="BC104" s="142">
        <f>ROUND((AW104*AX104+AY104*AZ104+BA104*BB104),2)</f>
        <v>0</v>
      </c>
      <c r="BD104" s="141">
        <f t="shared" si="99"/>
        <v>77787.27</v>
      </c>
      <c r="BE104" s="111"/>
      <c r="BF104" s="141">
        <f t="shared" si="100"/>
        <v>96908.93</v>
      </c>
      <c r="BG104" s="111"/>
      <c r="BH104" s="142">
        <f>ROUND((BD104*BE104+BF104*BG104),2)</f>
        <v>0</v>
      </c>
      <c r="BI104" s="144">
        <f>BH104+BC104</f>
        <v>0</v>
      </c>
      <c r="BJ104" s="141">
        <f t="shared" si="101"/>
        <v>25708.01</v>
      </c>
      <c r="BK104" s="111"/>
      <c r="BL104" s="141">
        <f t="shared" si="102"/>
        <v>27763.9</v>
      </c>
      <c r="BM104" s="111"/>
      <c r="BN104" s="141">
        <f t="shared" si="103"/>
        <v>23851.91</v>
      </c>
      <c r="BO104" s="119"/>
      <c r="BP104" s="142">
        <f>ROUND((BJ104*BK104+BL104*BM104+BN104*BO104),2)</f>
        <v>0</v>
      </c>
      <c r="BQ104" s="141">
        <f t="shared" si="104"/>
        <v>29360.82</v>
      </c>
      <c r="BR104" s="111"/>
      <c r="BS104" s="141">
        <f t="shared" si="105"/>
        <v>36645.26</v>
      </c>
      <c r="BT104" s="111"/>
      <c r="BU104" s="141">
        <f t="shared" si="106"/>
        <v>34889.949999999997</v>
      </c>
      <c r="BV104" s="111"/>
      <c r="BW104" s="142">
        <f>ROUND((BQ104*BR104+BS104*BT104+BU104*BV104),2)</f>
        <v>0</v>
      </c>
      <c r="BX104" s="186">
        <f>BV104+BT104+BR104+BO104+BM104+BK104+BG104+BE104+BB104+AZ104+AX104+AS104+AP104+AN104+AL104+AI104+AG104+AE104+AB104+Z104+W104+U104+S104+P104+N104+L104+I104+G104+E104</f>
        <v>547</v>
      </c>
      <c r="BY104" s="117"/>
      <c r="BZ104" s="117"/>
    </row>
    <row r="105" spans="1:78" s="116" customFormat="1" ht="16.5">
      <c r="A105" s="122" t="s">
        <v>399</v>
      </c>
      <c r="B105" s="123" t="s">
        <v>481</v>
      </c>
      <c r="C105" s="124" t="s">
        <v>388</v>
      </c>
      <c r="D105" s="141">
        <f t="shared" si="78"/>
        <v>31250.82</v>
      </c>
      <c r="E105" s="114">
        <v>251</v>
      </c>
      <c r="F105" s="141">
        <f t="shared" si="79"/>
        <v>38535.26</v>
      </c>
      <c r="G105" s="114">
        <v>246</v>
      </c>
      <c r="H105" s="141">
        <f t="shared" si="80"/>
        <v>36779.949999999997</v>
      </c>
      <c r="I105" s="114">
        <v>51</v>
      </c>
      <c r="J105" s="142">
        <f>ROUND((D105*E105+F105*G105+H105*I105),2)</f>
        <v>19199407.23</v>
      </c>
      <c r="K105" s="141">
        <f t="shared" si="81"/>
        <v>35546.49</v>
      </c>
      <c r="L105" s="113"/>
      <c r="M105" s="141">
        <f t="shared" si="82"/>
        <v>43923.6</v>
      </c>
      <c r="N105" s="113"/>
      <c r="O105" s="141">
        <f t="shared" si="83"/>
        <v>41904.99</v>
      </c>
      <c r="P105" s="113"/>
      <c r="Q105" s="142">
        <f>ROUND((K105*L105+M105*N105+O105*P105),2)</f>
        <v>0</v>
      </c>
      <c r="R105" s="141">
        <f t="shared" si="84"/>
        <v>41274.050000000003</v>
      </c>
      <c r="S105" s="111"/>
      <c r="T105" s="141">
        <f t="shared" si="85"/>
        <v>51108.05</v>
      </c>
      <c r="U105" s="111"/>
      <c r="V105" s="141">
        <f t="shared" si="86"/>
        <v>48738.38</v>
      </c>
      <c r="W105" s="111"/>
      <c r="X105" s="142">
        <f>ROUND((R105*S105+T105*U105+V105*W105),2)</f>
        <v>0</v>
      </c>
      <c r="Y105" s="141">
        <f t="shared" si="87"/>
        <v>45569.73</v>
      </c>
      <c r="Z105" s="111"/>
      <c r="AA105" s="141">
        <f t="shared" si="88"/>
        <v>56496.39</v>
      </c>
      <c r="AB105" s="111"/>
      <c r="AC105" s="142">
        <f>ROUND((Y105*Z105+AA105*AB105),2)</f>
        <v>0</v>
      </c>
      <c r="AD105" s="141">
        <f t="shared" si="89"/>
        <v>54161.08</v>
      </c>
      <c r="AE105" s="114">
        <v>1</v>
      </c>
      <c r="AF105" s="141">
        <f t="shared" si="90"/>
        <v>67273.070000000007</v>
      </c>
      <c r="AG105" s="114">
        <v>10</v>
      </c>
      <c r="AH105" s="141">
        <f t="shared" si="91"/>
        <v>64113.51</v>
      </c>
      <c r="AI105" s="113"/>
      <c r="AJ105" s="142">
        <f>ROUND((AD105*AE105+AF105*AG105+AH105*AI105),2)</f>
        <v>726891.78</v>
      </c>
      <c r="AK105" s="141">
        <f t="shared" si="92"/>
        <v>29360.82</v>
      </c>
      <c r="AL105" s="113"/>
      <c r="AM105" s="141">
        <f t="shared" si="93"/>
        <v>36645.26</v>
      </c>
      <c r="AN105" s="113"/>
      <c r="AO105" s="141">
        <f t="shared" si="94"/>
        <v>34889.949999999997</v>
      </c>
      <c r="AP105" s="113"/>
      <c r="AQ105" s="142">
        <f>ROUND((AK105*AL105+AM105*AN105+AO105*AP105),2)</f>
        <v>0</v>
      </c>
      <c r="AR105" s="141">
        <f t="shared" si="95"/>
        <v>35718.379999999997</v>
      </c>
      <c r="AS105" s="114"/>
      <c r="AT105" s="142">
        <f>ROUND((AR105*AS105),2)</f>
        <v>0</v>
      </c>
      <c r="AU105" s="143">
        <f>AT105+AQ105+AJ105+AC105+X105+Q105+J105</f>
        <v>19926299.010000002</v>
      </c>
      <c r="AV105" s="115"/>
      <c r="AW105" s="141">
        <f t="shared" si="96"/>
        <v>65258.22</v>
      </c>
      <c r="AX105" s="113"/>
      <c r="AY105" s="141">
        <f t="shared" si="97"/>
        <v>81192.94</v>
      </c>
      <c r="AZ105" s="113"/>
      <c r="BA105" s="141">
        <f t="shared" si="98"/>
        <v>77353.2</v>
      </c>
      <c r="BB105" s="113"/>
      <c r="BC105" s="142">
        <f>ROUND((AW105*AX105+AY105*AZ105+BA105*BB105),2)</f>
        <v>0</v>
      </c>
      <c r="BD105" s="141">
        <f t="shared" si="99"/>
        <v>77787.27</v>
      </c>
      <c r="BE105" s="111"/>
      <c r="BF105" s="141">
        <f t="shared" si="100"/>
        <v>96908.93</v>
      </c>
      <c r="BG105" s="111"/>
      <c r="BH105" s="142">
        <f>ROUND((BD105*BE105+BF105*BG105),2)</f>
        <v>0</v>
      </c>
      <c r="BI105" s="144">
        <f>BH105+BC105</f>
        <v>0</v>
      </c>
      <c r="BJ105" s="141">
        <f t="shared" si="101"/>
        <v>25708.01</v>
      </c>
      <c r="BK105" s="111"/>
      <c r="BL105" s="141">
        <f t="shared" si="102"/>
        <v>27763.9</v>
      </c>
      <c r="BM105" s="111"/>
      <c r="BN105" s="141">
        <f t="shared" si="103"/>
        <v>23851.91</v>
      </c>
      <c r="BO105" s="111"/>
      <c r="BP105" s="142">
        <f>ROUND((BJ105*BK105+BL105*BM105+BN105*BO105),2)</f>
        <v>0</v>
      </c>
      <c r="BQ105" s="141">
        <f t="shared" si="104"/>
        <v>29360.82</v>
      </c>
      <c r="BR105" s="111"/>
      <c r="BS105" s="141">
        <f t="shared" si="105"/>
        <v>36645.26</v>
      </c>
      <c r="BT105" s="111"/>
      <c r="BU105" s="141">
        <f t="shared" si="106"/>
        <v>34889.949999999997</v>
      </c>
      <c r="BV105" s="111"/>
      <c r="BW105" s="142">
        <f>ROUND((BQ105*BR105+BS105*BT105+BU105*BV105),2)</f>
        <v>0</v>
      </c>
      <c r="BX105" s="186">
        <f>BV105+BT105+BR105+BO105+BM105+BK105+BG105+BE105+BB105+AZ105+AX105+AS105+AP105+AN105+AL105+AI105+AG105+AE105+AB105+Z105+W105+U105+S105+P105+N105+L105+I105+G105+E105</f>
        <v>559</v>
      </c>
      <c r="BY105" s="117"/>
      <c r="BZ105" s="117"/>
    </row>
    <row r="106" spans="1:78" s="116" customFormat="1" ht="16.5">
      <c r="A106" s="122" t="s">
        <v>400</v>
      </c>
      <c r="B106" s="123" t="s">
        <v>482</v>
      </c>
      <c r="C106" s="124" t="s">
        <v>388</v>
      </c>
      <c r="D106" s="141">
        <f t="shared" si="78"/>
        <v>31250.82</v>
      </c>
      <c r="E106" s="114">
        <v>166</v>
      </c>
      <c r="F106" s="141">
        <f t="shared" si="79"/>
        <v>38535.26</v>
      </c>
      <c r="G106" s="114">
        <v>185</v>
      </c>
      <c r="H106" s="141">
        <f t="shared" si="80"/>
        <v>36779.949999999997</v>
      </c>
      <c r="I106" s="114">
        <v>31</v>
      </c>
      <c r="J106" s="142">
        <f>ROUND((D106*E106+F106*G106+H106*I106),2)</f>
        <v>13456837.67</v>
      </c>
      <c r="K106" s="141">
        <f t="shared" si="81"/>
        <v>35546.49</v>
      </c>
      <c r="L106" s="114"/>
      <c r="M106" s="141">
        <f t="shared" si="82"/>
        <v>43923.6</v>
      </c>
      <c r="N106" s="114"/>
      <c r="O106" s="141">
        <f t="shared" si="83"/>
        <v>41904.99</v>
      </c>
      <c r="P106" s="114"/>
      <c r="Q106" s="142">
        <f>ROUND((K106*L106+M106*N106+O106*P106),2)</f>
        <v>0</v>
      </c>
      <c r="R106" s="141">
        <f t="shared" si="84"/>
        <v>41274.050000000003</v>
      </c>
      <c r="S106" s="119"/>
      <c r="T106" s="141">
        <f t="shared" si="85"/>
        <v>51108.05</v>
      </c>
      <c r="U106" s="119"/>
      <c r="V106" s="141">
        <f t="shared" si="86"/>
        <v>48738.38</v>
      </c>
      <c r="W106" s="119"/>
      <c r="X106" s="142">
        <f>ROUND((R106*S106+T106*U106+V106*W106),2)</f>
        <v>0</v>
      </c>
      <c r="Y106" s="141">
        <f t="shared" si="87"/>
        <v>45569.73</v>
      </c>
      <c r="Z106" s="119"/>
      <c r="AA106" s="141">
        <f t="shared" si="88"/>
        <v>56496.39</v>
      </c>
      <c r="AB106" s="119"/>
      <c r="AC106" s="142">
        <f>ROUND((Y106*Z106+AA106*AB106),2)</f>
        <v>0</v>
      </c>
      <c r="AD106" s="141">
        <f t="shared" si="89"/>
        <v>54161.08</v>
      </c>
      <c r="AE106" s="114">
        <v>1</v>
      </c>
      <c r="AF106" s="141">
        <f t="shared" si="90"/>
        <v>67273.070000000007</v>
      </c>
      <c r="AG106" s="114">
        <v>3</v>
      </c>
      <c r="AH106" s="141">
        <f t="shared" si="91"/>
        <v>64113.51</v>
      </c>
      <c r="AI106" s="126"/>
      <c r="AJ106" s="142">
        <f>ROUND((AD106*AE106+AF106*AG106+AH106*AI106),2)</f>
        <v>255980.29</v>
      </c>
      <c r="AK106" s="141">
        <f t="shared" si="92"/>
        <v>29360.82</v>
      </c>
      <c r="AL106" s="126"/>
      <c r="AM106" s="141">
        <f t="shared" si="93"/>
        <v>36645.26</v>
      </c>
      <c r="AN106" s="126"/>
      <c r="AO106" s="141">
        <f t="shared" si="94"/>
        <v>34889.949999999997</v>
      </c>
      <c r="AP106" s="126"/>
      <c r="AQ106" s="142">
        <f>ROUND((AK106*AL106+AM106*AN106+AO106*AP106),2)</f>
        <v>0</v>
      </c>
      <c r="AR106" s="141">
        <f t="shared" si="95"/>
        <v>35718.379999999997</v>
      </c>
      <c r="AS106" s="114">
        <v>50</v>
      </c>
      <c r="AT106" s="142">
        <f>ROUND((AR106*AS106),2)</f>
        <v>1785919</v>
      </c>
      <c r="AU106" s="143">
        <f>AT106+AQ106+AJ106+AC106+X106+Q106+J106</f>
        <v>15498736.960000001</v>
      </c>
      <c r="AV106" s="115"/>
      <c r="AW106" s="141">
        <f t="shared" si="96"/>
        <v>65258.22</v>
      </c>
      <c r="AX106" s="126"/>
      <c r="AY106" s="141">
        <f t="shared" si="97"/>
        <v>81192.94</v>
      </c>
      <c r="AZ106" s="126"/>
      <c r="BA106" s="141">
        <f t="shared" si="98"/>
        <v>77353.2</v>
      </c>
      <c r="BB106" s="126"/>
      <c r="BC106" s="142">
        <f>ROUND((AW106*AX106+AY106*AZ106+BA106*BB106),2)</f>
        <v>0</v>
      </c>
      <c r="BD106" s="141">
        <f t="shared" si="99"/>
        <v>77787.27</v>
      </c>
      <c r="BE106" s="119"/>
      <c r="BF106" s="141">
        <f t="shared" si="100"/>
        <v>96908.93</v>
      </c>
      <c r="BG106" s="119"/>
      <c r="BH106" s="142">
        <f>ROUND((BD106*BE106+BF106*BG106),2)</f>
        <v>0</v>
      </c>
      <c r="BI106" s="144">
        <f>BH106+BC106</f>
        <v>0</v>
      </c>
      <c r="BJ106" s="141">
        <f t="shared" si="101"/>
        <v>25708.01</v>
      </c>
      <c r="BK106" s="119"/>
      <c r="BL106" s="141">
        <f t="shared" si="102"/>
        <v>27763.9</v>
      </c>
      <c r="BM106" s="119"/>
      <c r="BN106" s="141">
        <f t="shared" si="103"/>
        <v>23851.91</v>
      </c>
      <c r="BO106" s="119"/>
      <c r="BP106" s="142">
        <f>ROUND((BJ106*BK106+BL106*BM106+BN106*BO106),2)</f>
        <v>0</v>
      </c>
      <c r="BQ106" s="141">
        <f t="shared" si="104"/>
        <v>29360.82</v>
      </c>
      <c r="BR106" s="119"/>
      <c r="BS106" s="141">
        <f t="shared" si="105"/>
        <v>36645.26</v>
      </c>
      <c r="BT106" s="119"/>
      <c r="BU106" s="141">
        <f t="shared" si="106"/>
        <v>34889.949999999997</v>
      </c>
      <c r="BV106" s="119"/>
      <c r="BW106" s="142">
        <f>ROUND((BQ106*BR106+BS106*BT106+BU106*BV106),2)</f>
        <v>0</v>
      </c>
      <c r="BX106" s="186">
        <f>BV106+BT106+BR106+BO106+BM106+BK106+BG106+BE106+BB106+AZ106+AX106+AS106+AP106+AN106+AL106+AI106+AG106+AE106+AB106+Z106+W106+U106+S106+P106+N106+L106+I106+G106+E106</f>
        <v>436</v>
      </c>
      <c r="BY106" s="117"/>
      <c r="BZ106" s="117"/>
    </row>
    <row r="107" spans="1:78" s="168" customFormat="1" ht="17.25" thickBot="1">
      <c r="A107" s="194"/>
      <c r="B107" s="195" t="s">
        <v>483</v>
      </c>
      <c r="C107" s="195"/>
      <c r="D107" s="141">
        <f t="shared" si="78"/>
        <v>31250.82</v>
      </c>
      <c r="E107" s="210">
        <f>SUM(E103:E106)</f>
        <v>874</v>
      </c>
      <c r="F107" s="141">
        <f t="shared" si="79"/>
        <v>38535.26</v>
      </c>
      <c r="G107" s="210">
        <f t="shared" ref="G107:BO107" si="120">SUM(G103:G106)</f>
        <v>965</v>
      </c>
      <c r="H107" s="141">
        <f t="shared" si="80"/>
        <v>36779.949999999997</v>
      </c>
      <c r="I107" s="210">
        <f t="shared" si="120"/>
        <v>169</v>
      </c>
      <c r="J107" s="210">
        <f t="shared" si="120"/>
        <v>70715554.13000001</v>
      </c>
      <c r="K107" s="141">
        <f t="shared" si="81"/>
        <v>35546.49</v>
      </c>
      <c r="L107" s="210">
        <f t="shared" si="120"/>
        <v>0</v>
      </c>
      <c r="M107" s="141">
        <f t="shared" si="82"/>
        <v>43923.6</v>
      </c>
      <c r="N107" s="210">
        <f t="shared" si="120"/>
        <v>0</v>
      </c>
      <c r="O107" s="141">
        <f t="shared" si="83"/>
        <v>41904.99</v>
      </c>
      <c r="P107" s="210">
        <f t="shared" si="120"/>
        <v>0</v>
      </c>
      <c r="Q107" s="210">
        <f>SUM(Q103:Q106)</f>
        <v>0</v>
      </c>
      <c r="R107" s="141">
        <f t="shared" si="84"/>
        <v>41274.050000000003</v>
      </c>
      <c r="S107" s="210">
        <f t="shared" si="120"/>
        <v>0</v>
      </c>
      <c r="T107" s="141">
        <f t="shared" si="85"/>
        <v>51108.05</v>
      </c>
      <c r="U107" s="210">
        <f t="shared" si="120"/>
        <v>0</v>
      </c>
      <c r="V107" s="141">
        <f t="shared" si="86"/>
        <v>48738.38</v>
      </c>
      <c r="W107" s="210">
        <f t="shared" si="120"/>
        <v>0</v>
      </c>
      <c r="X107" s="210">
        <f>SUM(X103:X106)</f>
        <v>0</v>
      </c>
      <c r="Y107" s="141">
        <f t="shared" si="87"/>
        <v>45569.73</v>
      </c>
      <c r="Z107" s="210">
        <f t="shared" si="120"/>
        <v>0</v>
      </c>
      <c r="AA107" s="141">
        <f t="shared" si="88"/>
        <v>56496.39</v>
      </c>
      <c r="AB107" s="210">
        <f t="shared" si="120"/>
        <v>0</v>
      </c>
      <c r="AC107" s="210">
        <f t="shared" si="120"/>
        <v>0</v>
      </c>
      <c r="AD107" s="141">
        <f t="shared" si="89"/>
        <v>54161.08</v>
      </c>
      <c r="AE107" s="210">
        <f t="shared" si="120"/>
        <v>6</v>
      </c>
      <c r="AF107" s="141">
        <f t="shared" si="90"/>
        <v>67273.070000000007</v>
      </c>
      <c r="AG107" s="210">
        <f t="shared" si="120"/>
        <v>27</v>
      </c>
      <c r="AH107" s="141">
        <f t="shared" si="91"/>
        <v>64113.51</v>
      </c>
      <c r="AI107" s="210">
        <f t="shared" si="120"/>
        <v>0</v>
      </c>
      <c r="AJ107" s="210">
        <f>SUM(AJ103:AJ106)</f>
        <v>2141339.37</v>
      </c>
      <c r="AK107" s="141">
        <f t="shared" si="92"/>
        <v>29360.82</v>
      </c>
      <c r="AL107" s="210">
        <f t="shared" si="120"/>
        <v>0</v>
      </c>
      <c r="AM107" s="141">
        <f t="shared" si="93"/>
        <v>36645.26</v>
      </c>
      <c r="AN107" s="210">
        <f t="shared" si="120"/>
        <v>0</v>
      </c>
      <c r="AO107" s="141">
        <f t="shared" si="94"/>
        <v>34889.949999999997</v>
      </c>
      <c r="AP107" s="210">
        <f t="shared" si="120"/>
        <v>0</v>
      </c>
      <c r="AQ107" s="210">
        <f>SUM(AQ103:AQ106)</f>
        <v>0</v>
      </c>
      <c r="AR107" s="141">
        <f t="shared" si="95"/>
        <v>35718.379999999997</v>
      </c>
      <c r="AS107" s="210">
        <f t="shared" si="120"/>
        <v>50</v>
      </c>
      <c r="AT107" s="210">
        <f t="shared" si="120"/>
        <v>1785919</v>
      </c>
      <c r="AU107" s="857">
        <f t="shared" si="120"/>
        <v>74642812.5</v>
      </c>
      <c r="AV107" s="210">
        <f t="shared" si="120"/>
        <v>0</v>
      </c>
      <c r="AW107" s="141">
        <f t="shared" si="96"/>
        <v>65258.22</v>
      </c>
      <c r="AX107" s="210">
        <f t="shared" si="120"/>
        <v>0</v>
      </c>
      <c r="AY107" s="141">
        <f t="shared" si="97"/>
        <v>81192.94</v>
      </c>
      <c r="AZ107" s="210">
        <f t="shared" si="120"/>
        <v>0</v>
      </c>
      <c r="BA107" s="141">
        <f t="shared" si="98"/>
        <v>77353.2</v>
      </c>
      <c r="BB107" s="210">
        <f t="shared" si="120"/>
        <v>0</v>
      </c>
      <c r="BC107" s="210">
        <f>SUM(BC103:BC106)</f>
        <v>0</v>
      </c>
      <c r="BD107" s="141">
        <f t="shared" si="99"/>
        <v>77787.27</v>
      </c>
      <c r="BE107" s="210">
        <f t="shared" si="120"/>
        <v>0</v>
      </c>
      <c r="BF107" s="141">
        <f t="shared" si="100"/>
        <v>96908.93</v>
      </c>
      <c r="BG107" s="210">
        <f t="shared" si="120"/>
        <v>0</v>
      </c>
      <c r="BH107" s="210">
        <f t="shared" si="120"/>
        <v>0</v>
      </c>
      <c r="BI107" s="210">
        <f t="shared" si="120"/>
        <v>0</v>
      </c>
      <c r="BJ107" s="141">
        <f t="shared" si="101"/>
        <v>25708.01</v>
      </c>
      <c r="BK107" s="210">
        <f t="shared" si="120"/>
        <v>0</v>
      </c>
      <c r="BL107" s="141">
        <f t="shared" si="102"/>
        <v>27763.9</v>
      </c>
      <c r="BM107" s="210">
        <f t="shared" si="120"/>
        <v>0</v>
      </c>
      <c r="BN107" s="141">
        <f t="shared" si="103"/>
        <v>23851.91</v>
      </c>
      <c r="BO107" s="210">
        <f t="shared" si="120"/>
        <v>4</v>
      </c>
      <c r="BP107" s="210">
        <f>SUM(BP103:BP106)</f>
        <v>95407.64</v>
      </c>
      <c r="BQ107" s="141">
        <f t="shared" si="104"/>
        <v>29360.82</v>
      </c>
      <c r="BR107" s="210">
        <f t="shared" ref="BR107:BX107" si="121">SUM(BR103:BR106)</f>
        <v>0</v>
      </c>
      <c r="BS107" s="141">
        <f t="shared" si="105"/>
        <v>36645.26</v>
      </c>
      <c r="BT107" s="210">
        <f t="shared" si="121"/>
        <v>0</v>
      </c>
      <c r="BU107" s="141">
        <f t="shared" si="106"/>
        <v>34889.949999999997</v>
      </c>
      <c r="BV107" s="210">
        <f t="shared" si="121"/>
        <v>0</v>
      </c>
      <c r="BW107" s="210">
        <f t="shared" si="121"/>
        <v>0</v>
      </c>
      <c r="BX107" s="211">
        <f t="shared" si="121"/>
        <v>2095</v>
      </c>
      <c r="BY107" s="167"/>
      <c r="BZ107" s="167"/>
    </row>
    <row r="108" spans="1:78" ht="18.75">
      <c r="A108" s="1631" t="s">
        <v>207</v>
      </c>
      <c r="B108" s="1632"/>
      <c r="C108" s="1633"/>
      <c r="D108" s="141">
        <f t="shared" si="78"/>
        <v>31250.82</v>
      </c>
      <c r="F108" s="141">
        <f t="shared" si="79"/>
        <v>38535.26</v>
      </c>
      <c r="H108" s="141">
        <f t="shared" si="80"/>
        <v>36779.949999999997</v>
      </c>
      <c r="K108" s="141">
        <f t="shared" si="81"/>
        <v>35546.49</v>
      </c>
      <c r="M108" s="141">
        <f t="shared" si="82"/>
        <v>43923.6</v>
      </c>
      <c r="O108" s="141">
        <f t="shared" si="83"/>
        <v>41904.99</v>
      </c>
      <c r="R108" s="141">
        <f t="shared" si="84"/>
        <v>41274.050000000003</v>
      </c>
      <c r="T108" s="141">
        <f t="shared" si="85"/>
        <v>51108.05</v>
      </c>
      <c r="V108" s="141">
        <f t="shared" si="86"/>
        <v>48738.38</v>
      </c>
      <c r="Y108" s="141">
        <f t="shared" si="87"/>
        <v>45569.73</v>
      </c>
      <c r="AA108" s="141">
        <f t="shared" si="88"/>
        <v>56496.39</v>
      </c>
      <c r="AD108" s="141">
        <f t="shared" si="89"/>
        <v>54161.08</v>
      </c>
      <c r="AF108" s="141">
        <f t="shared" si="90"/>
        <v>67273.070000000007</v>
      </c>
      <c r="AH108" s="141">
        <f t="shared" si="91"/>
        <v>64113.51</v>
      </c>
      <c r="AK108" s="141">
        <f t="shared" si="92"/>
        <v>29360.82</v>
      </c>
      <c r="AM108" s="141">
        <f t="shared" si="93"/>
        <v>36645.26</v>
      </c>
      <c r="AO108" s="141">
        <f t="shared" si="94"/>
        <v>34889.949999999997</v>
      </c>
      <c r="AR108" s="141">
        <f t="shared" si="95"/>
        <v>35718.379999999997</v>
      </c>
      <c r="AV108" s="248">
        <f>ROUND(AV126/AU126,3)</f>
        <v>1.3240000000000001</v>
      </c>
      <c r="AW108" s="141">
        <f t="shared" si="96"/>
        <v>65258.22</v>
      </c>
      <c r="AY108" s="141">
        <f t="shared" si="97"/>
        <v>81192.94</v>
      </c>
      <c r="BA108" s="141">
        <f t="shared" si="98"/>
        <v>77353.2</v>
      </c>
      <c r="BD108" s="141">
        <f t="shared" si="99"/>
        <v>77787.27</v>
      </c>
      <c r="BF108" s="141">
        <f t="shared" si="100"/>
        <v>96908.93</v>
      </c>
      <c r="BJ108" s="141">
        <f t="shared" si="101"/>
        <v>25708.01</v>
      </c>
      <c r="BL108" s="141">
        <f t="shared" si="102"/>
        <v>27763.9</v>
      </c>
      <c r="BN108" s="141">
        <f t="shared" si="103"/>
        <v>23851.91</v>
      </c>
      <c r="BQ108" s="141">
        <f t="shared" si="104"/>
        <v>29360.82</v>
      </c>
      <c r="BS108" s="141">
        <f t="shared" si="105"/>
        <v>36645.26</v>
      </c>
      <c r="BU108" s="141">
        <f t="shared" si="106"/>
        <v>34889.949999999997</v>
      </c>
      <c r="BY108" s="178"/>
      <c r="BZ108" s="178"/>
    </row>
    <row r="109" spans="1:78" s="94" customFormat="1" ht="15.75">
      <c r="A109" s="282">
        <v>1</v>
      </c>
      <c r="B109" s="283" t="s">
        <v>208</v>
      </c>
      <c r="C109" s="284" t="s">
        <v>388</v>
      </c>
      <c r="D109" s="141">
        <f t="shared" si="78"/>
        <v>31250.82</v>
      </c>
      <c r="E109" s="184">
        <v>154</v>
      </c>
      <c r="F109" s="141">
        <f t="shared" si="79"/>
        <v>38535.26</v>
      </c>
      <c r="G109" s="184">
        <v>187</v>
      </c>
      <c r="H109" s="141">
        <f t="shared" si="80"/>
        <v>36779.949999999997</v>
      </c>
      <c r="I109" s="184">
        <v>28</v>
      </c>
      <c r="J109" s="142">
        <f>ROUND((D109*E109+F109*G109+H109*I109),2)</f>
        <v>13048558.5</v>
      </c>
      <c r="K109" s="141">
        <f t="shared" si="81"/>
        <v>35546.49</v>
      </c>
      <c r="L109" s="184"/>
      <c r="M109" s="141">
        <f t="shared" si="82"/>
        <v>43923.6</v>
      </c>
      <c r="N109" s="184"/>
      <c r="O109" s="141">
        <f t="shared" si="83"/>
        <v>41904.99</v>
      </c>
      <c r="P109" s="184"/>
      <c r="Q109" s="142">
        <f>ROUND((K109*L109+M109*N109+O109*P109),2)</f>
        <v>0</v>
      </c>
      <c r="R109" s="141">
        <f t="shared" si="84"/>
        <v>41274.050000000003</v>
      </c>
      <c r="S109" s="184"/>
      <c r="T109" s="141">
        <f t="shared" si="85"/>
        <v>51108.05</v>
      </c>
      <c r="U109" s="184"/>
      <c r="V109" s="141">
        <f t="shared" si="86"/>
        <v>48738.38</v>
      </c>
      <c r="W109" s="184"/>
      <c r="X109" s="142">
        <f>ROUND((R109*S109+T109*U109+V109*W109),2)</f>
        <v>0</v>
      </c>
      <c r="Y109" s="141">
        <f t="shared" si="87"/>
        <v>45569.73</v>
      </c>
      <c r="Z109" s="184"/>
      <c r="AA109" s="141">
        <f t="shared" si="88"/>
        <v>56496.39</v>
      </c>
      <c r="AB109" s="184"/>
      <c r="AC109" s="142">
        <f>ROUND((Y109*Z109+AA109*AB109),2)</f>
        <v>0</v>
      </c>
      <c r="AD109" s="141">
        <f t="shared" si="89"/>
        <v>54161.08</v>
      </c>
      <c r="AE109" s="184">
        <v>7</v>
      </c>
      <c r="AF109" s="141">
        <f t="shared" si="90"/>
        <v>67273.070000000007</v>
      </c>
      <c r="AG109" s="184">
        <v>5</v>
      </c>
      <c r="AH109" s="141">
        <f t="shared" si="91"/>
        <v>64113.51</v>
      </c>
      <c r="AI109" s="184"/>
      <c r="AJ109" s="142">
        <f>ROUND((AD109*AE109+AF109*AG109+AH109*AI109),2)</f>
        <v>715492.91</v>
      </c>
      <c r="AK109" s="141">
        <f t="shared" si="92"/>
        <v>29360.82</v>
      </c>
      <c r="AL109" s="184"/>
      <c r="AM109" s="141">
        <f t="shared" si="93"/>
        <v>36645.26</v>
      </c>
      <c r="AN109" s="184"/>
      <c r="AO109" s="141">
        <f t="shared" si="94"/>
        <v>34889.949999999997</v>
      </c>
      <c r="AP109" s="184"/>
      <c r="AQ109" s="142">
        <f>ROUND((AK109*AL109+AM109*AN109+AO109*AP109),2)</f>
        <v>0</v>
      </c>
      <c r="AR109" s="141">
        <f t="shared" si="95"/>
        <v>35718.379999999997</v>
      </c>
      <c r="AS109" s="184"/>
      <c r="AT109" s="142">
        <f>ROUND((AR109*AS109),2)</f>
        <v>0</v>
      </c>
      <c r="AU109" s="143">
        <f>AT109+AQ109+AJ109+AC109+X109+Q109+J109</f>
        <v>13764051.41</v>
      </c>
      <c r="AV109" s="184"/>
      <c r="AW109" s="141">
        <f t="shared" si="96"/>
        <v>65258.22</v>
      </c>
      <c r="AX109" s="184"/>
      <c r="AY109" s="141">
        <f t="shared" si="97"/>
        <v>81192.94</v>
      </c>
      <c r="AZ109" s="184"/>
      <c r="BA109" s="141">
        <f t="shared" si="98"/>
        <v>77353.2</v>
      </c>
      <c r="BB109" s="184"/>
      <c r="BC109" s="142">
        <f>ROUND((AW109*AX109+AY109*AZ109+BA109*BB109),2)</f>
        <v>0</v>
      </c>
      <c r="BD109" s="141">
        <f t="shared" si="99"/>
        <v>77787.27</v>
      </c>
      <c r="BE109" s="184"/>
      <c r="BF109" s="141">
        <f t="shared" si="100"/>
        <v>96908.93</v>
      </c>
      <c r="BG109" s="184"/>
      <c r="BH109" s="142">
        <f>ROUND((BD109*BE109+BF109*BG109),2)</f>
        <v>0</v>
      </c>
      <c r="BI109" s="144">
        <f>BH109+BC109</f>
        <v>0</v>
      </c>
      <c r="BJ109" s="141">
        <f t="shared" si="101"/>
        <v>25708.01</v>
      </c>
      <c r="BK109" s="184"/>
      <c r="BL109" s="141">
        <f t="shared" si="102"/>
        <v>27763.9</v>
      </c>
      <c r="BM109" s="184"/>
      <c r="BN109" s="141">
        <f t="shared" si="103"/>
        <v>23851.91</v>
      </c>
      <c r="BO109" s="184"/>
      <c r="BP109" s="142">
        <f>ROUND((BJ109*BK109+BL109*BM109+BN109*BO109),2)</f>
        <v>0</v>
      </c>
      <c r="BQ109" s="141">
        <f t="shared" si="104"/>
        <v>29360.82</v>
      </c>
      <c r="BR109" s="184"/>
      <c r="BS109" s="141">
        <f t="shared" si="105"/>
        <v>36645.26</v>
      </c>
      <c r="BT109" s="184"/>
      <c r="BU109" s="141">
        <f t="shared" si="106"/>
        <v>34889.949999999997</v>
      </c>
      <c r="BV109" s="184"/>
      <c r="BW109" s="142">
        <f>ROUND((BQ109*BR109+BS109*BT109+BU109*BV109),2)</f>
        <v>0</v>
      </c>
      <c r="BX109" s="285">
        <f>BV109+BT109+BR109+BO109+BM109+BK109+BG109+BE109+BB109+AZ109+AX109+AS109+AP109+AN109+AL109+AI109+AG109+AE109+AB109+Z109+W109+U109+S109+P109+N109+L109+I109+G109+E109</f>
        <v>381</v>
      </c>
      <c r="BY109" s="136"/>
      <c r="BZ109" s="136"/>
    </row>
    <row r="110" spans="1:78" s="116" customFormat="1" ht="22.5">
      <c r="A110" s="122"/>
      <c r="B110" s="286" t="s">
        <v>484</v>
      </c>
      <c r="C110" s="287" t="s">
        <v>434</v>
      </c>
      <c r="D110" s="141">
        <f t="shared" si="78"/>
        <v>31250.82</v>
      </c>
      <c r="E110" s="288">
        <v>25</v>
      </c>
      <c r="F110" s="141">
        <f t="shared" si="79"/>
        <v>38535.26</v>
      </c>
      <c r="G110" s="288">
        <v>34</v>
      </c>
      <c r="H110" s="141">
        <f t="shared" si="80"/>
        <v>36779.949999999997</v>
      </c>
      <c r="I110" s="288">
        <v>0</v>
      </c>
      <c r="J110" s="142">
        <f>ROUND((D110*E110+F110*G110+H110*I110),2)</f>
        <v>2091469.34</v>
      </c>
      <c r="K110" s="141">
        <f t="shared" si="81"/>
        <v>35546.49</v>
      </c>
      <c r="L110" s="289"/>
      <c r="M110" s="141">
        <f t="shared" si="82"/>
        <v>43923.6</v>
      </c>
      <c r="N110" s="289"/>
      <c r="O110" s="141">
        <f t="shared" si="83"/>
        <v>41904.99</v>
      </c>
      <c r="P110" s="289"/>
      <c r="Q110" s="142">
        <f>ROUND((K110*L110+M110*N110+O110*P110),2)</f>
        <v>0</v>
      </c>
      <c r="R110" s="141">
        <f t="shared" si="84"/>
        <v>41274.050000000003</v>
      </c>
      <c r="S110" s="290"/>
      <c r="T110" s="141">
        <f t="shared" si="85"/>
        <v>51108.05</v>
      </c>
      <c r="U110" s="290"/>
      <c r="V110" s="141">
        <f t="shared" si="86"/>
        <v>48738.38</v>
      </c>
      <c r="W110" s="291"/>
      <c r="X110" s="142">
        <f>ROUND((R110*S110+T110*U110+V110*W110),2)</f>
        <v>0</v>
      </c>
      <c r="Y110" s="141">
        <f t="shared" si="87"/>
        <v>45569.73</v>
      </c>
      <c r="Z110" s="290"/>
      <c r="AA110" s="141">
        <f t="shared" si="88"/>
        <v>56496.39</v>
      </c>
      <c r="AB110" s="290"/>
      <c r="AC110" s="142">
        <f>ROUND((Y110*Z110+AA110*AB110),2)</f>
        <v>0</v>
      </c>
      <c r="AD110" s="141">
        <f t="shared" si="89"/>
        <v>54161.08</v>
      </c>
      <c r="AE110" s="288">
        <v>0</v>
      </c>
      <c r="AF110" s="141">
        <f t="shared" si="90"/>
        <v>67273.070000000007</v>
      </c>
      <c r="AG110" s="288">
        <v>0</v>
      </c>
      <c r="AH110" s="141">
        <f t="shared" si="91"/>
        <v>64113.51</v>
      </c>
      <c r="AI110" s="289"/>
      <c r="AJ110" s="142">
        <f>ROUND((AD110*AE110+AF110*AG110+AH110*AI110),2)</f>
        <v>0</v>
      </c>
      <c r="AK110" s="141">
        <f t="shared" si="92"/>
        <v>29360.82</v>
      </c>
      <c r="AL110" s="289"/>
      <c r="AM110" s="141">
        <f t="shared" si="93"/>
        <v>36645.26</v>
      </c>
      <c r="AN110" s="289"/>
      <c r="AO110" s="141">
        <f t="shared" si="94"/>
        <v>34889.949999999997</v>
      </c>
      <c r="AP110" s="289"/>
      <c r="AQ110" s="142">
        <f>ROUND((AK110*AL110+AM110*AN110+AO110*AP110),2)</f>
        <v>0</v>
      </c>
      <c r="AR110" s="141">
        <f t="shared" si="95"/>
        <v>35718.379999999997</v>
      </c>
      <c r="AS110" s="288"/>
      <c r="AT110" s="142">
        <f>ROUND((AR110*AS110),2)</f>
        <v>0</v>
      </c>
      <c r="AU110" s="143">
        <f>AT110+AQ110+AJ110+AC110+X110+Q110+J110</f>
        <v>2091469.34</v>
      </c>
      <c r="AV110" s="292"/>
      <c r="AW110" s="141">
        <f t="shared" si="96"/>
        <v>65258.22</v>
      </c>
      <c r="AX110" s="290"/>
      <c r="AY110" s="141">
        <f t="shared" si="97"/>
        <v>81192.94</v>
      </c>
      <c r="AZ110" s="290"/>
      <c r="BA110" s="141">
        <f t="shared" si="98"/>
        <v>77353.2</v>
      </c>
      <c r="BB110" s="290"/>
      <c r="BC110" s="142">
        <f>ROUND((AW110*AX110+AY110*AZ110+BA110*BB110),2)</f>
        <v>0</v>
      </c>
      <c r="BD110" s="141">
        <f t="shared" si="99"/>
        <v>77787.27</v>
      </c>
      <c r="BE110" s="290"/>
      <c r="BF110" s="141">
        <f t="shared" si="100"/>
        <v>96908.93</v>
      </c>
      <c r="BG110" s="290"/>
      <c r="BH110" s="142">
        <f>ROUND((BD110*BE110+BF110*BG110),2)</f>
        <v>0</v>
      </c>
      <c r="BI110" s="144">
        <f>BH110+BC110</f>
        <v>0</v>
      </c>
      <c r="BJ110" s="141">
        <f t="shared" si="101"/>
        <v>25708.01</v>
      </c>
      <c r="BK110" s="290"/>
      <c r="BL110" s="141">
        <f t="shared" si="102"/>
        <v>27763.9</v>
      </c>
      <c r="BM110" s="290"/>
      <c r="BN110" s="141">
        <f t="shared" si="103"/>
        <v>23851.91</v>
      </c>
      <c r="BO110" s="290"/>
      <c r="BP110" s="142">
        <f>ROUND((BJ110*BK110+BL110*BM110+BN110*BO110),2)</f>
        <v>0</v>
      </c>
      <c r="BQ110" s="141">
        <f t="shared" si="104"/>
        <v>29360.82</v>
      </c>
      <c r="BR110" s="291"/>
      <c r="BS110" s="141">
        <f t="shared" si="105"/>
        <v>36645.26</v>
      </c>
      <c r="BT110" s="291"/>
      <c r="BU110" s="141">
        <f t="shared" si="106"/>
        <v>34889.949999999997</v>
      </c>
      <c r="BV110" s="291"/>
      <c r="BW110" s="142">
        <f>ROUND((BQ110*BR110+BS110*BT110+BU110*BV110),2)</f>
        <v>0</v>
      </c>
      <c r="BX110" s="293">
        <f>BV110+BT110+BR110+BO110+BM110+BK110+BG110+BE110+BB110+AZ110+AX110+AS110+AP110+AN110+AL110+AI110+AG110+AE110+AB110+Z110+W110+U110+S110+P110+N110+L110+I110+G110+E110</f>
        <v>59</v>
      </c>
      <c r="BY110" s="117"/>
      <c r="BZ110" s="117"/>
    </row>
    <row r="111" spans="1:78" s="159" customFormat="1" ht="30">
      <c r="A111" s="173"/>
      <c r="B111" s="294" t="s">
        <v>485</v>
      </c>
      <c r="C111" s="295"/>
      <c r="D111" s="141">
        <f t="shared" si="78"/>
        <v>31250.82</v>
      </c>
      <c r="E111" s="296">
        <f>E109+E110</f>
        <v>179</v>
      </c>
      <c r="F111" s="141">
        <f t="shared" si="79"/>
        <v>38535.26</v>
      </c>
      <c r="G111" s="296">
        <f>G109+G110</f>
        <v>221</v>
      </c>
      <c r="H111" s="141">
        <f t="shared" si="80"/>
        <v>36779.949999999997</v>
      </c>
      <c r="I111" s="296">
        <f>I109+I110</f>
        <v>28</v>
      </c>
      <c r="J111" s="297">
        <f>J109+J110</f>
        <v>15140027.84</v>
      </c>
      <c r="K111" s="141">
        <f t="shared" si="81"/>
        <v>35546.49</v>
      </c>
      <c r="L111" s="298">
        <f>L109+L110</f>
        <v>0</v>
      </c>
      <c r="M111" s="141">
        <f t="shared" si="82"/>
        <v>43923.6</v>
      </c>
      <c r="N111" s="298">
        <f>N109+N110</f>
        <v>0</v>
      </c>
      <c r="O111" s="141">
        <f t="shared" si="83"/>
        <v>41904.99</v>
      </c>
      <c r="P111" s="298">
        <f>P109+P110</f>
        <v>0</v>
      </c>
      <c r="Q111" s="297">
        <f>Q109+Q110</f>
        <v>0</v>
      </c>
      <c r="R111" s="141">
        <f t="shared" si="84"/>
        <v>41274.050000000003</v>
      </c>
      <c r="S111" s="297">
        <f>S109+S110</f>
        <v>0</v>
      </c>
      <c r="T111" s="141">
        <f t="shared" si="85"/>
        <v>51108.05</v>
      </c>
      <c r="U111" s="297">
        <f>U109+U110</f>
        <v>0</v>
      </c>
      <c r="V111" s="141">
        <f t="shared" si="86"/>
        <v>48738.38</v>
      </c>
      <c r="W111" s="299">
        <f>W109+W110</f>
        <v>0</v>
      </c>
      <c r="X111" s="297">
        <f>X109+X110</f>
        <v>0</v>
      </c>
      <c r="Y111" s="141">
        <f t="shared" si="87"/>
        <v>45569.73</v>
      </c>
      <c r="Z111" s="297">
        <f>Z109+Z110</f>
        <v>0</v>
      </c>
      <c r="AA111" s="141">
        <f t="shared" si="88"/>
        <v>56496.39</v>
      </c>
      <c r="AB111" s="297">
        <f>AB109+AB110</f>
        <v>0</v>
      </c>
      <c r="AC111" s="297">
        <f>AC109+AC110</f>
        <v>0</v>
      </c>
      <c r="AD111" s="141">
        <f t="shared" si="89"/>
        <v>54161.08</v>
      </c>
      <c r="AE111" s="296">
        <f>AE109+AE110</f>
        <v>7</v>
      </c>
      <c r="AF111" s="141">
        <f t="shared" si="90"/>
        <v>67273.070000000007</v>
      </c>
      <c r="AG111" s="296">
        <f>AG109+AG110</f>
        <v>5</v>
      </c>
      <c r="AH111" s="141">
        <f t="shared" si="91"/>
        <v>64113.51</v>
      </c>
      <c r="AI111" s="298">
        <f>AI109+AI110</f>
        <v>0</v>
      </c>
      <c r="AJ111" s="297">
        <f>AJ109+AJ110</f>
        <v>715492.91</v>
      </c>
      <c r="AK111" s="141">
        <f t="shared" si="92"/>
        <v>29360.82</v>
      </c>
      <c r="AL111" s="298">
        <f>AL109+AL110</f>
        <v>0</v>
      </c>
      <c r="AM111" s="141">
        <f t="shared" si="93"/>
        <v>36645.26</v>
      </c>
      <c r="AN111" s="298">
        <f>AN109+AN110</f>
        <v>0</v>
      </c>
      <c r="AO111" s="141">
        <f t="shared" si="94"/>
        <v>34889.949999999997</v>
      </c>
      <c r="AP111" s="298">
        <f>AP109+AP110</f>
        <v>0</v>
      </c>
      <c r="AQ111" s="297">
        <f>AQ109+AQ110</f>
        <v>0</v>
      </c>
      <c r="AR111" s="141">
        <f t="shared" si="95"/>
        <v>35718.379999999997</v>
      </c>
      <c r="AS111" s="300">
        <f>AS109+AS110</f>
        <v>0</v>
      </c>
      <c r="AT111" s="297">
        <f>AT109+AT110</f>
        <v>0</v>
      </c>
      <c r="AU111" s="750">
        <f>AU109+AU110</f>
        <v>15855520.75</v>
      </c>
      <c r="AV111" s="301">
        <f>AV109+AV110</f>
        <v>0</v>
      </c>
      <c r="AW111" s="141">
        <f t="shared" si="96"/>
        <v>65258.22</v>
      </c>
      <c r="AX111" s="297">
        <f>AX109+AX110</f>
        <v>0</v>
      </c>
      <c r="AY111" s="141">
        <f t="shared" si="97"/>
        <v>81192.94</v>
      </c>
      <c r="AZ111" s="297">
        <f>AZ109+AZ110</f>
        <v>0</v>
      </c>
      <c r="BA111" s="141">
        <f t="shared" si="98"/>
        <v>77353.2</v>
      </c>
      <c r="BB111" s="297">
        <f>BB109+BB110</f>
        <v>0</v>
      </c>
      <c r="BC111" s="297">
        <f>BC109+BC110</f>
        <v>0</v>
      </c>
      <c r="BD111" s="141">
        <f t="shared" si="99"/>
        <v>77787.27</v>
      </c>
      <c r="BE111" s="297">
        <f>BE109+BE110</f>
        <v>0</v>
      </c>
      <c r="BF111" s="141">
        <f t="shared" si="100"/>
        <v>96908.93</v>
      </c>
      <c r="BG111" s="297">
        <f>BG109+BG110</f>
        <v>0</v>
      </c>
      <c r="BH111" s="297">
        <f>BH109+BH110</f>
        <v>0</v>
      </c>
      <c r="BI111" s="297">
        <f>BI109+BI110</f>
        <v>0</v>
      </c>
      <c r="BJ111" s="141">
        <f t="shared" si="101"/>
        <v>25708.01</v>
      </c>
      <c r="BK111" s="297">
        <f>BK109+BK110</f>
        <v>0</v>
      </c>
      <c r="BL111" s="141">
        <f t="shared" si="102"/>
        <v>27763.9</v>
      </c>
      <c r="BM111" s="297">
        <f>BM109+BM110</f>
        <v>0</v>
      </c>
      <c r="BN111" s="141">
        <f t="shared" si="103"/>
        <v>23851.91</v>
      </c>
      <c r="BO111" s="297">
        <f>BO109+BO110</f>
        <v>0</v>
      </c>
      <c r="BP111" s="297">
        <f>BP109+BP110</f>
        <v>0</v>
      </c>
      <c r="BQ111" s="141">
        <f t="shared" si="104"/>
        <v>29360.82</v>
      </c>
      <c r="BR111" s="299">
        <f t="shared" ref="BR111:BW111" si="122">BR109+BR110</f>
        <v>0</v>
      </c>
      <c r="BS111" s="141">
        <f t="shared" si="105"/>
        <v>36645.26</v>
      </c>
      <c r="BT111" s="299">
        <f t="shared" si="122"/>
        <v>0</v>
      </c>
      <c r="BU111" s="141">
        <f t="shared" si="106"/>
        <v>34889.949999999997</v>
      </c>
      <c r="BV111" s="299">
        <f t="shared" si="122"/>
        <v>0</v>
      </c>
      <c r="BW111" s="297">
        <f t="shared" si="122"/>
        <v>0</v>
      </c>
      <c r="BX111" s="302">
        <f>BX109+BX110</f>
        <v>440</v>
      </c>
      <c r="BY111" s="158"/>
      <c r="BZ111" s="158"/>
    </row>
    <row r="112" spans="1:78" s="116" customFormat="1" ht="15.75">
      <c r="A112" s="118" t="s">
        <v>389</v>
      </c>
      <c r="B112" s="283" t="s">
        <v>209</v>
      </c>
      <c r="C112" s="284" t="s">
        <v>388</v>
      </c>
      <c r="D112" s="141">
        <f t="shared" si="78"/>
        <v>31250.82</v>
      </c>
      <c r="E112" s="288">
        <v>274</v>
      </c>
      <c r="F112" s="141">
        <f t="shared" si="79"/>
        <v>38535.26</v>
      </c>
      <c r="G112" s="288">
        <v>260</v>
      </c>
      <c r="H112" s="141">
        <f t="shared" si="80"/>
        <v>36779.949999999997</v>
      </c>
      <c r="I112" s="288">
        <v>48</v>
      </c>
      <c r="J112" s="142">
        <f>ROUND((D112*E112+F112*G112+H112*I112),2)</f>
        <v>20347329.879999999</v>
      </c>
      <c r="K112" s="141">
        <f t="shared" si="81"/>
        <v>35546.49</v>
      </c>
      <c r="L112" s="290"/>
      <c r="M112" s="141">
        <f t="shared" si="82"/>
        <v>43923.6</v>
      </c>
      <c r="N112" s="290"/>
      <c r="O112" s="141">
        <f t="shared" si="83"/>
        <v>41904.99</v>
      </c>
      <c r="P112" s="290"/>
      <c r="Q112" s="142">
        <f>ROUND((K112*L112+M112*N112+O112*P112),2)</f>
        <v>0</v>
      </c>
      <c r="R112" s="141">
        <f t="shared" si="84"/>
        <v>41274.050000000003</v>
      </c>
      <c r="S112" s="290"/>
      <c r="T112" s="141">
        <f t="shared" si="85"/>
        <v>51108.05</v>
      </c>
      <c r="U112" s="290"/>
      <c r="V112" s="141">
        <f t="shared" si="86"/>
        <v>48738.38</v>
      </c>
      <c r="W112" s="290"/>
      <c r="X112" s="142">
        <f>ROUND((R112*S112+T112*U112+V112*W112),2)</f>
        <v>0</v>
      </c>
      <c r="Y112" s="141">
        <f t="shared" si="87"/>
        <v>45569.73</v>
      </c>
      <c r="Z112" s="290"/>
      <c r="AA112" s="141">
        <f t="shared" si="88"/>
        <v>56496.39</v>
      </c>
      <c r="AB112" s="290"/>
      <c r="AC112" s="142">
        <f>ROUND((Y112*Z112+AA112*AB112),2)</f>
        <v>0</v>
      </c>
      <c r="AD112" s="141">
        <f t="shared" si="89"/>
        <v>54161.08</v>
      </c>
      <c r="AE112" s="288">
        <v>1</v>
      </c>
      <c r="AF112" s="141">
        <f t="shared" si="90"/>
        <v>67273.070000000007</v>
      </c>
      <c r="AG112" s="288">
        <v>1</v>
      </c>
      <c r="AH112" s="141">
        <f t="shared" si="91"/>
        <v>64113.51</v>
      </c>
      <c r="AI112" s="289"/>
      <c r="AJ112" s="142">
        <f>ROUND((AD112*AE112+AF112*AG112+AH112*AI112),2)</f>
        <v>121434.15</v>
      </c>
      <c r="AK112" s="141">
        <f t="shared" si="92"/>
        <v>29360.82</v>
      </c>
      <c r="AL112" s="289"/>
      <c r="AM112" s="141">
        <f t="shared" si="93"/>
        <v>36645.26</v>
      </c>
      <c r="AN112" s="289"/>
      <c r="AO112" s="141">
        <f t="shared" si="94"/>
        <v>34889.949999999997</v>
      </c>
      <c r="AP112" s="289"/>
      <c r="AQ112" s="142">
        <f>ROUND((AK112*AL112+AM112*AN112+AO112*AP112),2)</f>
        <v>0</v>
      </c>
      <c r="AR112" s="141">
        <f t="shared" si="95"/>
        <v>35718.379999999997</v>
      </c>
      <c r="AS112" s="288"/>
      <c r="AT112" s="142">
        <f>ROUND((AR112*AS112),2)</f>
        <v>0</v>
      </c>
      <c r="AU112" s="143">
        <f>AT112+AQ112+AJ112+AC112+X112+Q112+J112</f>
        <v>20468764.029999997</v>
      </c>
      <c r="AV112" s="303"/>
      <c r="AW112" s="141">
        <f t="shared" si="96"/>
        <v>65258.22</v>
      </c>
      <c r="AX112" s="289"/>
      <c r="AY112" s="141">
        <f t="shared" si="97"/>
        <v>81192.94</v>
      </c>
      <c r="AZ112" s="289"/>
      <c r="BA112" s="141">
        <f t="shared" si="98"/>
        <v>77353.2</v>
      </c>
      <c r="BB112" s="289"/>
      <c r="BC112" s="142">
        <f>ROUND((AW112*AX112+AY112*AZ112+BA112*BB112),2)</f>
        <v>0</v>
      </c>
      <c r="BD112" s="141">
        <f t="shared" si="99"/>
        <v>77787.27</v>
      </c>
      <c r="BE112" s="290"/>
      <c r="BF112" s="141">
        <f t="shared" si="100"/>
        <v>96908.93</v>
      </c>
      <c r="BG112" s="290"/>
      <c r="BH112" s="142">
        <f>ROUND((BD112*BE112+BF112*BG112),2)</f>
        <v>0</v>
      </c>
      <c r="BI112" s="144">
        <f>BH112+BC112</f>
        <v>0</v>
      </c>
      <c r="BJ112" s="141">
        <f t="shared" si="101"/>
        <v>25708.01</v>
      </c>
      <c r="BK112" s="290"/>
      <c r="BL112" s="141">
        <f t="shared" si="102"/>
        <v>27763.9</v>
      </c>
      <c r="BM112" s="290"/>
      <c r="BN112" s="141">
        <f t="shared" si="103"/>
        <v>23851.91</v>
      </c>
      <c r="BO112" s="290"/>
      <c r="BP112" s="142">
        <f>ROUND((BJ112*BK112+BL112*BM112+BN112*BO112),2)</f>
        <v>0</v>
      </c>
      <c r="BQ112" s="141">
        <f t="shared" si="104"/>
        <v>29360.82</v>
      </c>
      <c r="BR112" s="290"/>
      <c r="BS112" s="141">
        <f t="shared" si="105"/>
        <v>36645.26</v>
      </c>
      <c r="BT112" s="290"/>
      <c r="BU112" s="141">
        <f t="shared" si="106"/>
        <v>34889.949999999997</v>
      </c>
      <c r="BV112" s="290"/>
      <c r="BW112" s="142">
        <f>ROUND((BQ112*BR112+BS112*BT112+BU112*BV112),2)</f>
        <v>0</v>
      </c>
      <c r="BX112" s="293">
        <f>BV112+BT112+BR112+BO112+BM112+BK112+BG112+BE112+BB112+AZ112+AX112+AS112+AP112+AN112+AL112+AI112+AG112+AE112+AB112+Z112+W112+U112+S112+P112+N112+L112+I112+G112+E112</f>
        <v>584</v>
      </c>
      <c r="BY112" s="117"/>
      <c r="BZ112" s="117"/>
    </row>
    <row r="113" spans="1:78" s="116" customFormat="1" ht="22.5">
      <c r="A113" s="118"/>
      <c r="B113" s="286" t="s">
        <v>486</v>
      </c>
      <c r="C113" s="287" t="s">
        <v>434</v>
      </c>
      <c r="D113" s="141">
        <f t="shared" si="78"/>
        <v>31250.82</v>
      </c>
      <c r="E113" s="288">
        <v>12</v>
      </c>
      <c r="F113" s="141">
        <f t="shared" si="79"/>
        <v>38535.26</v>
      </c>
      <c r="G113" s="288">
        <v>23</v>
      </c>
      <c r="H113" s="141">
        <f t="shared" si="80"/>
        <v>36779.949999999997</v>
      </c>
      <c r="I113" s="288">
        <v>0</v>
      </c>
      <c r="J113" s="142">
        <f>ROUND((D113*E113+F113*G113+H113*I113),2)</f>
        <v>1261320.82</v>
      </c>
      <c r="K113" s="141">
        <f t="shared" si="81"/>
        <v>35546.49</v>
      </c>
      <c r="L113" s="290"/>
      <c r="M113" s="141">
        <f t="shared" si="82"/>
        <v>43923.6</v>
      </c>
      <c r="N113" s="290"/>
      <c r="O113" s="141">
        <f t="shared" si="83"/>
        <v>41904.99</v>
      </c>
      <c r="P113" s="290"/>
      <c r="Q113" s="142">
        <f>ROUND((K113*L113+M113*N113+O113*P113),2)</f>
        <v>0</v>
      </c>
      <c r="R113" s="141">
        <f t="shared" si="84"/>
        <v>41274.050000000003</v>
      </c>
      <c r="S113" s="290"/>
      <c r="T113" s="141">
        <f t="shared" si="85"/>
        <v>51108.05</v>
      </c>
      <c r="U113" s="290"/>
      <c r="V113" s="141">
        <f t="shared" si="86"/>
        <v>48738.38</v>
      </c>
      <c r="W113" s="290"/>
      <c r="X113" s="142">
        <f>ROUND((R113*S113+T113*U113+V113*W113),2)</f>
        <v>0</v>
      </c>
      <c r="Y113" s="141">
        <f t="shared" si="87"/>
        <v>45569.73</v>
      </c>
      <c r="Z113" s="290"/>
      <c r="AA113" s="141">
        <f t="shared" si="88"/>
        <v>56496.39</v>
      </c>
      <c r="AB113" s="290"/>
      <c r="AC113" s="142">
        <f>ROUND((Y113*Z113+AA113*AB113),2)</f>
        <v>0</v>
      </c>
      <c r="AD113" s="141">
        <f t="shared" si="89"/>
        <v>54161.08</v>
      </c>
      <c r="AE113" s="288"/>
      <c r="AF113" s="141">
        <f t="shared" si="90"/>
        <v>67273.070000000007</v>
      </c>
      <c r="AG113" s="288"/>
      <c r="AH113" s="141">
        <f t="shared" si="91"/>
        <v>64113.51</v>
      </c>
      <c r="AI113" s="289"/>
      <c r="AJ113" s="142">
        <f>ROUND((AD113*AE113+AF113*AG113+AH113*AI113),2)</f>
        <v>0</v>
      </c>
      <c r="AK113" s="141">
        <f t="shared" si="92"/>
        <v>29360.82</v>
      </c>
      <c r="AL113" s="289"/>
      <c r="AM113" s="141">
        <f t="shared" si="93"/>
        <v>36645.26</v>
      </c>
      <c r="AN113" s="289"/>
      <c r="AO113" s="141">
        <f t="shared" si="94"/>
        <v>34889.949999999997</v>
      </c>
      <c r="AP113" s="289"/>
      <c r="AQ113" s="142">
        <f>ROUND((AK113*AL113+AM113*AN113+AO113*AP113),2)</f>
        <v>0</v>
      </c>
      <c r="AR113" s="141">
        <f t="shared" si="95"/>
        <v>35718.379999999997</v>
      </c>
      <c r="AS113" s="288"/>
      <c r="AT113" s="142">
        <f>ROUND((AR113*AS113),2)</f>
        <v>0</v>
      </c>
      <c r="AU113" s="143">
        <f>AT113+AQ113+AJ113+AC113+X113+Q113+J113</f>
        <v>1261320.82</v>
      </c>
      <c r="AV113" s="303"/>
      <c r="AW113" s="141">
        <f t="shared" si="96"/>
        <v>65258.22</v>
      </c>
      <c r="AX113" s="289"/>
      <c r="AY113" s="141">
        <f t="shared" si="97"/>
        <v>81192.94</v>
      </c>
      <c r="AZ113" s="289"/>
      <c r="BA113" s="141">
        <f t="shared" si="98"/>
        <v>77353.2</v>
      </c>
      <c r="BB113" s="289"/>
      <c r="BC113" s="142">
        <f>ROUND((AW113*AX113+AY113*AZ113+BA113*BB113),2)</f>
        <v>0</v>
      </c>
      <c r="BD113" s="141">
        <f t="shared" si="99"/>
        <v>77787.27</v>
      </c>
      <c r="BE113" s="290"/>
      <c r="BF113" s="141">
        <f t="shared" si="100"/>
        <v>96908.93</v>
      </c>
      <c r="BG113" s="290"/>
      <c r="BH113" s="142">
        <f>ROUND((BD113*BE113+BF113*BG113),2)</f>
        <v>0</v>
      </c>
      <c r="BI113" s="144">
        <f>BH113+BC113</f>
        <v>0</v>
      </c>
      <c r="BJ113" s="141">
        <f t="shared" si="101"/>
        <v>25708.01</v>
      </c>
      <c r="BK113" s="290"/>
      <c r="BL113" s="141">
        <f t="shared" si="102"/>
        <v>27763.9</v>
      </c>
      <c r="BM113" s="290"/>
      <c r="BN113" s="141">
        <f t="shared" si="103"/>
        <v>23851.91</v>
      </c>
      <c r="BO113" s="290"/>
      <c r="BP113" s="142">
        <f>ROUND((BJ113*BK113+BL113*BM113+BN113*BO113),2)</f>
        <v>0</v>
      </c>
      <c r="BQ113" s="141">
        <f t="shared" si="104"/>
        <v>29360.82</v>
      </c>
      <c r="BR113" s="290"/>
      <c r="BS113" s="141">
        <f t="shared" si="105"/>
        <v>36645.26</v>
      </c>
      <c r="BT113" s="290"/>
      <c r="BU113" s="141">
        <f t="shared" si="106"/>
        <v>34889.949999999997</v>
      </c>
      <c r="BV113" s="290"/>
      <c r="BW113" s="142">
        <f>ROUND((BQ113*BR113+BS113*BT113+BU113*BV113),2)</f>
        <v>0</v>
      </c>
      <c r="BX113" s="293">
        <f>BV113+BT113+BR113+BO113+BM113+BK113+BG113+BE113+BB113+AZ113+AX113+AS113+AP113+AN113+AL113+AI113+AG113+AE113+AB113+Z113+W113+U113+S113+P113+N113+L113+I113+G113+E113</f>
        <v>35</v>
      </c>
      <c r="BY113" s="117"/>
      <c r="BZ113" s="117"/>
    </row>
    <row r="114" spans="1:78" s="116" customFormat="1" ht="22.5">
      <c r="A114" s="118"/>
      <c r="B114" s="286" t="s">
        <v>487</v>
      </c>
      <c r="C114" s="287" t="s">
        <v>434</v>
      </c>
      <c r="D114" s="141">
        <f t="shared" si="78"/>
        <v>31250.82</v>
      </c>
      <c r="E114" s="288">
        <v>15</v>
      </c>
      <c r="F114" s="141">
        <f t="shared" si="79"/>
        <v>38535.26</v>
      </c>
      <c r="G114" s="288">
        <v>21</v>
      </c>
      <c r="H114" s="141">
        <f t="shared" si="80"/>
        <v>36779.949999999997</v>
      </c>
      <c r="I114" s="288">
        <v>0</v>
      </c>
      <c r="J114" s="142">
        <f>ROUND((D114*E114+F114*G114+H114*I114),2)</f>
        <v>1278002.76</v>
      </c>
      <c r="K114" s="141">
        <f t="shared" si="81"/>
        <v>35546.49</v>
      </c>
      <c r="L114" s="288"/>
      <c r="M114" s="141">
        <f t="shared" si="82"/>
        <v>43923.6</v>
      </c>
      <c r="N114" s="288"/>
      <c r="O114" s="141">
        <f t="shared" si="83"/>
        <v>41904.99</v>
      </c>
      <c r="P114" s="288"/>
      <c r="Q114" s="142">
        <f>ROUND((K114*L114+M114*N114+O114*P114),2)</f>
        <v>0</v>
      </c>
      <c r="R114" s="141">
        <f t="shared" si="84"/>
        <v>41274.050000000003</v>
      </c>
      <c r="S114" s="288"/>
      <c r="T114" s="141">
        <f t="shared" si="85"/>
        <v>51108.05</v>
      </c>
      <c r="U114" s="288"/>
      <c r="V114" s="141">
        <f t="shared" si="86"/>
        <v>48738.38</v>
      </c>
      <c r="W114" s="288"/>
      <c r="X114" s="142">
        <f>ROUND((R114*S114+T114*U114+V114*W114),2)</f>
        <v>0</v>
      </c>
      <c r="Y114" s="141">
        <f t="shared" si="87"/>
        <v>45569.73</v>
      </c>
      <c r="Z114" s="288"/>
      <c r="AA114" s="141">
        <f t="shared" si="88"/>
        <v>56496.39</v>
      </c>
      <c r="AB114" s="288"/>
      <c r="AC114" s="142">
        <f>ROUND((Y114*Z114+AA114*AB114),2)</f>
        <v>0</v>
      </c>
      <c r="AD114" s="141">
        <f t="shared" si="89"/>
        <v>54161.08</v>
      </c>
      <c r="AE114" s="288"/>
      <c r="AF114" s="141">
        <f t="shared" si="90"/>
        <v>67273.070000000007</v>
      </c>
      <c r="AG114" s="288">
        <v>1</v>
      </c>
      <c r="AH114" s="141">
        <f t="shared" si="91"/>
        <v>64113.51</v>
      </c>
      <c r="AI114" s="288"/>
      <c r="AJ114" s="142">
        <f>ROUND((AD114*AE114+AF114*AG114+AH114*AI114),2)</f>
        <v>67273.070000000007</v>
      </c>
      <c r="AK114" s="141">
        <f t="shared" si="92"/>
        <v>29360.82</v>
      </c>
      <c r="AL114" s="288"/>
      <c r="AM114" s="141">
        <f t="shared" si="93"/>
        <v>36645.26</v>
      </c>
      <c r="AN114" s="288"/>
      <c r="AO114" s="141">
        <f t="shared" si="94"/>
        <v>34889.949999999997</v>
      </c>
      <c r="AP114" s="288"/>
      <c r="AQ114" s="142">
        <f>ROUND((AK114*AL114+AM114*AN114+AO114*AP114),2)</f>
        <v>0</v>
      </c>
      <c r="AR114" s="141">
        <f t="shared" si="95"/>
        <v>35718.379999999997</v>
      </c>
      <c r="AS114" s="288"/>
      <c r="AT114" s="142">
        <f>ROUND((AR114*AS114),2)</f>
        <v>0</v>
      </c>
      <c r="AU114" s="143">
        <f>AT114+AQ114+AJ114+AC114+X114+Q114+J114</f>
        <v>1345275.83</v>
      </c>
      <c r="AV114" s="288"/>
      <c r="AW114" s="141">
        <f t="shared" si="96"/>
        <v>65258.22</v>
      </c>
      <c r="AX114" s="288"/>
      <c r="AY114" s="141">
        <f t="shared" si="97"/>
        <v>81192.94</v>
      </c>
      <c r="AZ114" s="288"/>
      <c r="BA114" s="141">
        <f t="shared" si="98"/>
        <v>77353.2</v>
      </c>
      <c r="BB114" s="288"/>
      <c r="BC114" s="142">
        <f>ROUND((AW114*AX114+AY114*AZ114+BA114*BB114),2)</f>
        <v>0</v>
      </c>
      <c r="BD114" s="141">
        <f t="shared" si="99"/>
        <v>77787.27</v>
      </c>
      <c r="BE114" s="288"/>
      <c r="BF114" s="141">
        <f t="shared" si="100"/>
        <v>96908.93</v>
      </c>
      <c r="BG114" s="288"/>
      <c r="BH114" s="142">
        <f>ROUND((BD114*BE114+BF114*BG114),2)</f>
        <v>0</v>
      </c>
      <c r="BI114" s="144">
        <f>BH114+BC114</f>
        <v>0</v>
      </c>
      <c r="BJ114" s="141">
        <f t="shared" si="101"/>
        <v>25708.01</v>
      </c>
      <c r="BK114" s="288"/>
      <c r="BL114" s="141">
        <f t="shared" si="102"/>
        <v>27763.9</v>
      </c>
      <c r="BM114" s="288"/>
      <c r="BN114" s="141">
        <f t="shared" si="103"/>
        <v>23851.91</v>
      </c>
      <c r="BO114" s="288"/>
      <c r="BP114" s="142">
        <f>ROUND((BJ114*BK114+BL114*BM114+BN114*BO114),2)</f>
        <v>0</v>
      </c>
      <c r="BQ114" s="141">
        <f t="shared" si="104"/>
        <v>29360.82</v>
      </c>
      <c r="BR114" s="288"/>
      <c r="BS114" s="141">
        <f t="shared" si="105"/>
        <v>36645.26</v>
      </c>
      <c r="BT114" s="288"/>
      <c r="BU114" s="141">
        <f t="shared" si="106"/>
        <v>34889.949999999997</v>
      </c>
      <c r="BV114" s="288"/>
      <c r="BW114" s="142">
        <f>ROUND((BQ114*BR114+BS114*BT114+BU114*BV114),2)</f>
        <v>0</v>
      </c>
      <c r="BX114" s="304">
        <f>BV114+BT114+BR114+BO114+BM114+BK114+BG114+BE114+BB114+AZ114+AX114+AS114+AP114+AN114+AL114+AI114+AG114+AE114+AB114+Z114+W114+U114+S114+P114+N114+L114+I114+G114+E114</f>
        <v>37</v>
      </c>
      <c r="BY114" s="117"/>
      <c r="BZ114" s="117"/>
    </row>
    <row r="115" spans="1:78" s="116" customFormat="1" ht="22.5">
      <c r="A115" s="118"/>
      <c r="B115" s="286" t="s">
        <v>488</v>
      </c>
      <c r="C115" s="287" t="s">
        <v>434</v>
      </c>
      <c r="D115" s="141">
        <f t="shared" si="78"/>
        <v>31250.82</v>
      </c>
      <c r="E115" s="288">
        <v>23</v>
      </c>
      <c r="F115" s="141">
        <f t="shared" si="79"/>
        <v>38535.26</v>
      </c>
      <c r="G115" s="288">
        <v>15</v>
      </c>
      <c r="H115" s="141">
        <f t="shared" si="80"/>
        <v>36779.949999999997</v>
      </c>
      <c r="I115" s="288">
        <v>0</v>
      </c>
      <c r="J115" s="142">
        <f>ROUND((D115*E115+F115*G115+H115*I115),2)</f>
        <v>1296797.76</v>
      </c>
      <c r="K115" s="141">
        <f t="shared" si="81"/>
        <v>35546.49</v>
      </c>
      <c r="L115" s="290"/>
      <c r="M115" s="141">
        <f t="shared" si="82"/>
        <v>43923.6</v>
      </c>
      <c r="N115" s="290"/>
      <c r="O115" s="141">
        <f t="shared" si="83"/>
        <v>41904.99</v>
      </c>
      <c r="P115" s="290"/>
      <c r="Q115" s="142">
        <f>ROUND((K115*L115+M115*N115+O115*P115),2)</f>
        <v>0</v>
      </c>
      <c r="R115" s="141">
        <f t="shared" si="84"/>
        <v>41274.050000000003</v>
      </c>
      <c r="S115" s="290"/>
      <c r="T115" s="141">
        <f t="shared" si="85"/>
        <v>51108.05</v>
      </c>
      <c r="U115" s="290"/>
      <c r="V115" s="141">
        <f t="shared" si="86"/>
        <v>48738.38</v>
      </c>
      <c r="W115" s="290"/>
      <c r="X115" s="142">
        <f>ROUND((R115*S115+T115*U115+V115*W115),2)</f>
        <v>0</v>
      </c>
      <c r="Y115" s="141">
        <f t="shared" si="87"/>
        <v>45569.73</v>
      </c>
      <c r="Z115" s="290"/>
      <c r="AA115" s="141">
        <f t="shared" si="88"/>
        <v>56496.39</v>
      </c>
      <c r="AB115" s="290"/>
      <c r="AC115" s="142">
        <f>ROUND((Y115*Z115+AA115*AB115),2)</f>
        <v>0</v>
      </c>
      <c r="AD115" s="141">
        <f t="shared" si="89"/>
        <v>54161.08</v>
      </c>
      <c r="AE115" s="288"/>
      <c r="AF115" s="141">
        <f t="shared" si="90"/>
        <v>67273.070000000007</v>
      </c>
      <c r="AG115" s="288"/>
      <c r="AH115" s="141">
        <f t="shared" si="91"/>
        <v>64113.51</v>
      </c>
      <c r="AI115" s="289"/>
      <c r="AJ115" s="142">
        <f>ROUND((AD115*AE115+AF115*AG115+AH115*AI115),2)</f>
        <v>0</v>
      </c>
      <c r="AK115" s="141">
        <f t="shared" si="92"/>
        <v>29360.82</v>
      </c>
      <c r="AL115" s="289"/>
      <c r="AM115" s="141">
        <f t="shared" si="93"/>
        <v>36645.26</v>
      </c>
      <c r="AN115" s="289"/>
      <c r="AO115" s="141">
        <f t="shared" si="94"/>
        <v>34889.949999999997</v>
      </c>
      <c r="AP115" s="289"/>
      <c r="AQ115" s="142">
        <f>ROUND((AK115*AL115+AM115*AN115+AO115*AP115),2)</f>
        <v>0</v>
      </c>
      <c r="AR115" s="141">
        <f t="shared" si="95"/>
        <v>35718.379999999997</v>
      </c>
      <c r="AS115" s="288"/>
      <c r="AT115" s="142">
        <f>ROUND((AR115*AS115),2)</f>
        <v>0</v>
      </c>
      <c r="AU115" s="143">
        <f>AT115+AQ115+AJ115+AC115+X115+Q115+J115</f>
        <v>1296797.76</v>
      </c>
      <c r="AV115" s="303"/>
      <c r="AW115" s="141">
        <f t="shared" si="96"/>
        <v>65258.22</v>
      </c>
      <c r="AX115" s="289"/>
      <c r="AY115" s="141">
        <f t="shared" si="97"/>
        <v>81192.94</v>
      </c>
      <c r="AZ115" s="289"/>
      <c r="BA115" s="141">
        <f t="shared" si="98"/>
        <v>77353.2</v>
      </c>
      <c r="BB115" s="289"/>
      <c r="BC115" s="142">
        <f>ROUND((AW115*AX115+AY115*AZ115+BA115*BB115),2)</f>
        <v>0</v>
      </c>
      <c r="BD115" s="141">
        <f t="shared" si="99"/>
        <v>77787.27</v>
      </c>
      <c r="BE115" s="290"/>
      <c r="BF115" s="141">
        <f t="shared" si="100"/>
        <v>96908.93</v>
      </c>
      <c r="BG115" s="290"/>
      <c r="BH115" s="142">
        <f>ROUND((BD115*BE115+BF115*BG115),2)</f>
        <v>0</v>
      </c>
      <c r="BI115" s="144">
        <f>BH115+BC115</f>
        <v>0</v>
      </c>
      <c r="BJ115" s="141">
        <f t="shared" si="101"/>
        <v>25708.01</v>
      </c>
      <c r="BK115" s="290"/>
      <c r="BL115" s="141">
        <f t="shared" si="102"/>
        <v>27763.9</v>
      </c>
      <c r="BM115" s="290"/>
      <c r="BN115" s="141">
        <f t="shared" si="103"/>
        <v>23851.91</v>
      </c>
      <c r="BO115" s="290"/>
      <c r="BP115" s="142">
        <f>ROUND((BJ115*BK115+BL115*BM115+BN115*BO115),2)</f>
        <v>0</v>
      </c>
      <c r="BQ115" s="141">
        <f t="shared" si="104"/>
        <v>29360.82</v>
      </c>
      <c r="BR115" s="290"/>
      <c r="BS115" s="141">
        <f t="shared" si="105"/>
        <v>36645.26</v>
      </c>
      <c r="BT115" s="290"/>
      <c r="BU115" s="141">
        <f t="shared" si="106"/>
        <v>34889.949999999997</v>
      </c>
      <c r="BV115" s="290"/>
      <c r="BW115" s="142">
        <f>ROUND((BQ115*BR115+BS115*BT115+BU115*BV115),2)</f>
        <v>0</v>
      </c>
      <c r="BX115" s="293">
        <f>BV115+BT115+BR115+BO115+BM115+BK115+BG115+BE115+BB115+AZ115+AX115+AS115+AP115+AN115+AL115+AI115+AG115+AE115+AB115+Z115+W115+U115+S115+P115+N115+L115+I115+G115+E115</f>
        <v>38</v>
      </c>
      <c r="BY115" s="117"/>
      <c r="BZ115" s="117"/>
    </row>
    <row r="116" spans="1:78" s="159" customFormat="1" ht="30">
      <c r="A116" s="173"/>
      <c r="B116" s="294" t="s">
        <v>489</v>
      </c>
      <c r="C116" s="305"/>
      <c r="D116" s="141">
        <f t="shared" si="78"/>
        <v>31250.82</v>
      </c>
      <c r="E116" s="296">
        <f>E112+E113+E114+E115</f>
        <v>324</v>
      </c>
      <c r="F116" s="141">
        <f t="shared" si="79"/>
        <v>38535.26</v>
      </c>
      <c r="G116" s="296">
        <f>G112+G113+G114+G115</f>
        <v>319</v>
      </c>
      <c r="H116" s="141">
        <f t="shared" si="80"/>
        <v>36779.949999999997</v>
      </c>
      <c r="I116" s="296">
        <f>I112+I113+I114+I115</f>
        <v>48</v>
      </c>
      <c r="J116" s="297">
        <f>J112+J113+J114+J115</f>
        <v>24183451.220000003</v>
      </c>
      <c r="K116" s="141">
        <f t="shared" si="81"/>
        <v>35546.49</v>
      </c>
      <c r="L116" s="297">
        <f>L112+L113+L114+L115</f>
        <v>0</v>
      </c>
      <c r="M116" s="141">
        <f t="shared" si="82"/>
        <v>43923.6</v>
      </c>
      <c r="N116" s="297">
        <f>N112+N113+N114+N115</f>
        <v>0</v>
      </c>
      <c r="O116" s="141">
        <f t="shared" si="83"/>
        <v>41904.99</v>
      </c>
      <c r="P116" s="297">
        <f>P112+P113+P114+P115</f>
        <v>0</v>
      </c>
      <c r="Q116" s="297">
        <f>Q112+Q113+Q114+Q115</f>
        <v>0</v>
      </c>
      <c r="R116" s="141">
        <f t="shared" si="84"/>
        <v>41274.050000000003</v>
      </c>
      <c r="S116" s="297">
        <f>S112+S113+S114+S115</f>
        <v>0</v>
      </c>
      <c r="T116" s="141">
        <f t="shared" si="85"/>
        <v>51108.05</v>
      </c>
      <c r="U116" s="297">
        <f>U112+U113+U114+U115</f>
        <v>0</v>
      </c>
      <c r="V116" s="141">
        <f t="shared" si="86"/>
        <v>48738.38</v>
      </c>
      <c r="W116" s="297">
        <f>W112+W113+W114+W115</f>
        <v>0</v>
      </c>
      <c r="X116" s="297">
        <f>X112+X113+X114+X115</f>
        <v>0</v>
      </c>
      <c r="Y116" s="141">
        <f t="shared" si="87"/>
        <v>45569.73</v>
      </c>
      <c r="Z116" s="297">
        <f>Z112+Z113+Z114+Z115</f>
        <v>0</v>
      </c>
      <c r="AA116" s="141">
        <f t="shared" si="88"/>
        <v>56496.39</v>
      </c>
      <c r="AB116" s="297">
        <f>AB112+AB113+AB114+AB115</f>
        <v>0</v>
      </c>
      <c r="AC116" s="297">
        <f>AC112+AC113+AC114+AC115</f>
        <v>0</v>
      </c>
      <c r="AD116" s="141">
        <f t="shared" si="89"/>
        <v>54161.08</v>
      </c>
      <c r="AE116" s="296">
        <f>AE112+AE113+AE114+AE115</f>
        <v>1</v>
      </c>
      <c r="AF116" s="141">
        <f t="shared" si="90"/>
        <v>67273.070000000007</v>
      </c>
      <c r="AG116" s="296">
        <f>AG112+AG113+AG114+AG115</f>
        <v>2</v>
      </c>
      <c r="AH116" s="141">
        <f t="shared" si="91"/>
        <v>64113.51</v>
      </c>
      <c r="AI116" s="298">
        <f>AI112+AI113+AI114+AI115</f>
        <v>0</v>
      </c>
      <c r="AJ116" s="297">
        <f>AJ112+AJ113+AJ114+AJ115</f>
        <v>188707.22</v>
      </c>
      <c r="AK116" s="141">
        <f t="shared" si="92"/>
        <v>29360.82</v>
      </c>
      <c r="AL116" s="298">
        <f>AL112+AL113+AL114+AL115</f>
        <v>0</v>
      </c>
      <c r="AM116" s="141">
        <f t="shared" si="93"/>
        <v>36645.26</v>
      </c>
      <c r="AN116" s="298">
        <f>AN112+AN113+AN114+AN115</f>
        <v>0</v>
      </c>
      <c r="AO116" s="141">
        <f t="shared" si="94"/>
        <v>34889.949999999997</v>
      </c>
      <c r="AP116" s="298">
        <f>AP112+AP113+AP114+AP115</f>
        <v>0</v>
      </c>
      <c r="AQ116" s="297">
        <f>AQ112+AQ113+AQ114+AQ115</f>
        <v>0</v>
      </c>
      <c r="AR116" s="141">
        <f t="shared" si="95"/>
        <v>35718.379999999997</v>
      </c>
      <c r="AS116" s="300">
        <f>AS112+AS113+AS114+AS115</f>
        <v>0</v>
      </c>
      <c r="AT116" s="297">
        <f>AT112+AT113+AT114+AT115</f>
        <v>0</v>
      </c>
      <c r="AU116" s="750">
        <f>AU112+AU113+AU114+AU115</f>
        <v>24372158.440000001</v>
      </c>
      <c r="AV116" s="306">
        <f>AV112+AV113+AV114+AV115</f>
        <v>0</v>
      </c>
      <c r="AW116" s="141">
        <f t="shared" si="96"/>
        <v>65258.22</v>
      </c>
      <c r="AX116" s="298">
        <f>AX112+AX113+AX114+AX115</f>
        <v>0</v>
      </c>
      <c r="AY116" s="141">
        <f t="shared" si="97"/>
        <v>81192.94</v>
      </c>
      <c r="AZ116" s="298">
        <f>AZ112+AZ113+AZ114+AZ115</f>
        <v>0</v>
      </c>
      <c r="BA116" s="141">
        <f t="shared" si="98"/>
        <v>77353.2</v>
      </c>
      <c r="BB116" s="298">
        <f>BB112+BB113+BB114+BB115</f>
        <v>0</v>
      </c>
      <c r="BC116" s="297">
        <f>BC112+BC113+BC114+BC115</f>
        <v>0</v>
      </c>
      <c r="BD116" s="141">
        <f t="shared" si="99"/>
        <v>77787.27</v>
      </c>
      <c r="BE116" s="297">
        <f>BE112+BE113+BE114+BE115</f>
        <v>0</v>
      </c>
      <c r="BF116" s="141">
        <f t="shared" si="100"/>
        <v>96908.93</v>
      </c>
      <c r="BG116" s="297">
        <f>BG112+BG113+BG114+BG115</f>
        <v>0</v>
      </c>
      <c r="BH116" s="297">
        <f>BH112+BH113+BH114+BH115</f>
        <v>0</v>
      </c>
      <c r="BI116" s="297">
        <f>BI112+BI113+BI114+BI115</f>
        <v>0</v>
      </c>
      <c r="BJ116" s="141">
        <f t="shared" si="101"/>
        <v>25708.01</v>
      </c>
      <c r="BK116" s="297">
        <f>BK112+BK113+BK114+BK115</f>
        <v>0</v>
      </c>
      <c r="BL116" s="141">
        <f t="shared" si="102"/>
        <v>27763.9</v>
      </c>
      <c r="BM116" s="297">
        <f>BM112+BM113+BM114+BM115</f>
        <v>0</v>
      </c>
      <c r="BN116" s="141">
        <f t="shared" si="103"/>
        <v>23851.91</v>
      </c>
      <c r="BO116" s="297">
        <f>BO112+BO113+BO114+BO115</f>
        <v>0</v>
      </c>
      <c r="BP116" s="297">
        <f>BP112+BP113+BP114+BP115</f>
        <v>0</v>
      </c>
      <c r="BQ116" s="141">
        <f t="shared" si="104"/>
        <v>29360.82</v>
      </c>
      <c r="BR116" s="297">
        <f t="shared" ref="BR116:BX116" si="123">BR112+BR113+BR114+BR115</f>
        <v>0</v>
      </c>
      <c r="BS116" s="141">
        <f t="shared" si="105"/>
        <v>36645.26</v>
      </c>
      <c r="BT116" s="297">
        <f t="shared" si="123"/>
        <v>0</v>
      </c>
      <c r="BU116" s="141">
        <f t="shared" si="106"/>
        <v>34889.949999999997</v>
      </c>
      <c r="BV116" s="297">
        <f t="shared" si="123"/>
        <v>0</v>
      </c>
      <c r="BW116" s="297">
        <f t="shared" si="123"/>
        <v>0</v>
      </c>
      <c r="BX116" s="302">
        <f t="shared" si="123"/>
        <v>694</v>
      </c>
      <c r="BY116" s="158"/>
      <c r="BZ116" s="158"/>
    </row>
    <row r="117" spans="1:78" s="116" customFormat="1" ht="15.75">
      <c r="A117" s="307">
        <v>3</v>
      </c>
      <c r="B117" s="308" t="s">
        <v>210</v>
      </c>
      <c r="C117" s="284" t="s">
        <v>388</v>
      </c>
      <c r="D117" s="141">
        <f t="shared" si="78"/>
        <v>31250.82</v>
      </c>
      <c r="E117" s="288">
        <v>287</v>
      </c>
      <c r="F117" s="141">
        <f t="shared" si="79"/>
        <v>38535.26</v>
      </c>
      <c r="G117" s="288">
        <v>314</v>
      </c>
      <c r="H117" s="141">
        <f t="shared" si="80"/>
        <v>36779.949999999997</v>
      </c>
      <c r="I117" s="288">
        <v>67</v>
      </c>
      <c r="J117" s="142">
        <f>ROUND((D117*E117+F117*G117+H117*I117),2)</f>
        <v>23533313.629999999</v>
      </c>
      <c r="K117" s="141">
        <f t="shared" si="81"/>
        <v>35546.49</v>
      </c>
      <c r="L117" s="288"/>
      <c r="M117" s="141">
        <f t="shared" si="82"/>
        <v>43923.6</v>
      </c>
      <c r="N117" s="288"/>
      <c r="O117" s="141">
        <f t="shared" si="83"/>
        <v>41904.99</v>
      </c>
      <c r="P117" s="291"/>
      <c r="Q117" s="142">
        <f>ROUND((K117*L117+M117*N117+O117*P117),2)</f>
        <v>0</v>
      </c>
      <c r="R117" s="141">
        <f t="shared" si="84"/>
        <v>41274.050000000003</v>
      </c>
      <c r="S117" s="291"/>
      <c r="T117" s="141">
        <f t="shared" si="85"/>
        <v>51108.05</v>
      </c>
      <c r="U117" s="291"/>
      <c r="V117" s="141">
        <f t="shared" si="86"/>
        <v>48738.38</v>
      </c>
      <c r="W117" s="291"/>
      <c r="X117" s="142">
        <f>ROUND((R117*S117+T117*U117+V117*W117),2)</f>
        <v>0</v>
      </c>
      <c r="Y117" s="141">
        <f t="shared" si="87"/>
        <v>45569.73</v>
      </c>
      <c r="Z117" s="291"/>
      <c r="AA117" s="141">
        <f t="shared" si="88"/>
        <v>56496.39</v>
      </c>
      <c r="AB117" s="291"/>
      <c r="AC117" s="142">
        <f>ROUND((Y117*Z117+AA117*AB117),2)</f>
        <v>0</v>
      </c>
      <c r="AD117" s="141">
        <f t="shared" si="89"/>
        <v>54161.08</v>
      </c>
      <c r="AE117" s="288">
        <v>2</v>
      </c>
      <c r="AF117" s="141">
        <f t="shared" si="90"/>
        <v>67273.070000000007</v>
      </c>
      <c r="AG117" s="288">
        <v>7</v>
      </c>
      <c r="AH117" s="141">
        <f t="shared" si="91"/>
        <v>64113.51</v>
      </c>
      <c r="AI117" s="292"/>
      <c r="AJ117" s="142">
        <f>ROUND((AD117*AE117+AF117*AG117+AH117*AI117),2)</f>
        <v>579233.65</v>
      </c>
      <c r="AK117" s="141">
        <f t="shared" si="92"/>
        <v>29360.82</v>
      </c>
      <c r="AL117" s="292"/>
      <c r="AM117" s="141">
        <f t="shared" si="93"/>
        <v>36645.26</v>
      </c>
      <c r="AN117" s="292"/>
      <c r="AO117" s="141">
        <f t="shared" si="94"/>
        <v>34889.949999999997</v>
      </c>
      <c r="AP117" s="292"/>
      <c r="AQ117" s="142">
        <f>ROUND((AK117*AL117+AM117*AN117+AO117*AP117),2)</f>
        <v>0</v>
      </c>
      <c r="AR117" s="141">
        <f t="shared" si="95"/>
        <v>35718.379999999997</v>
      </c>
      <c r="AS117" s="288"/>
      <c r="AT117" s="142">
        <f>ROUND((AR117*AS117),2)</f>
        <v>0</v>
      </c>
      <c r="AU117" s="143">
        <f>AT117+AQ117+AJ117+AC117+X117+Q117+J117</f>
        <v>24112547.279999997</v>
      </c>
      <c r="AV117" s="292"/>
      <c r="AW117" s="141">
        <f t="shared" si="96"/>
        <v>65258.22</v>
      </c>
      <c r="AX117" s="291"/>
      <c r="AY117" s="141">
        <f t="shared" si="97"/>
        <v>81192.94</v>
      </c>
      <c r="AZ117" s="291"/>
      <c r="BA117" s="141">
        <f t="shared" si="98"/>
        <v>77353.2</v>
      </c>
      <c r="BB117" s="291"/>
      <c r="BC117" s="142">
        <f>ROUND((AW117*AX117+AY117*AZ117+BA117*BB117),2)</f>
        <v>0</v>
      </c>
      <c r="BD117" s="141">
        <f t="shared" si="99"/>
        <v>77787.27</v>
      </c>
      <c r="BE117" s="291"/>
      <c r="BF117" s="141">
        <f t="shared" si="100"/>
        <v>96908.93</v>
      </c>
      <c r="BG117" s="291"/>
      <c r="BH117" s="142">
        <f>ROUND((BD117*BE117+BF117*BG117),2)</f>
        <v>0</v>
      </c>
      <c r="BI117" s="144">
        <f>BH117+BC117</f>
        <v>0</v>
      </c>
      <c r="BJ117" s="141">
        <f t="shared" si="101"/>
        <v>25708.01</v>
      </c>
      <c r="BK117" s="291"/>
      <c r="BL117" s="141">
        <f t="shared" si="102"/>
        <v>27763.9</v>
      </c>
      <c r="BM117" s="291"/>
      <c r="BN117" s="141">
        <f t="shared" si="103"/>
        <v>23851.91</v>
      </c>
      <c r="BO117" s="291"/>
      <c r="BP117" s="142">
        <f>ROUND((BJ117*BK117+BL117*BM117+BN117*BO117),2)</f>
        <v>0</v>
      </c>
      <c r="BQ117" s="141">
        <f t="shared" si="104"/>
        <v>29360.82</v>
      </c>
      <c r="BR117" s="291"/>
      <c r="BS117" s="141">
        <f t="shared" si="105"/>
        <v>36645.26</v>
      </c>
      <c r="BT117" s="291"/>
      <c r="BU117" s="141">
        <f t="shared" si="106"/>
        <v>34889.949999999997</v>
      </c>
      <c r="BV117" s="291"/>
      <c r="BW117" s="142">
        <f>ROUND((BQ117*BR117+BS117*BT117+BU117*BV117),2)</f>
        <v>0</v>
      </c>
      <c r="BX117" s="293">
        <f t="shared" ref="BX117:BX122" si="124">BV117+BT117+BR117+BO117+BM117+BK117+BG117+BE117+BB117+AZ117+AX117+AS117+AP117+AN117+AL117+AI117+AG117+AE117+AB117+Z117+W117+U117+S117+P117+N117+L117+I117+G117+E117</f>
        <v>677</v>
      </c>
      <c r="BY117" s="117"/>
      <c r="BZ117" s="117"/>
    </row>
    <row r="118" spans="1:78" s="116" customFormat="1" ht="22.5">
      <c r="A118" s="122"/>
      <c r="B118" s="286" t="s">
        <v>490</v>
      </c>
      <c r="C118" s="287" t="s">
        <v>434</v>
      </c>
      <c r="D118" s="141">
        <f t="shared" si="78"/>
        <v>31250.82</v>
      </c>
      <c r="E118" s="288">
        <v>11</v>
      </c>
      <c r="F118" s="141">
        <f t="shared" si="79"/>
        <v>38535.26</v>
      </c>
      <c r="G118" s="288">
        <v>16</v>
      </c>
      <c r="H118" s="141">
        <f t="shared" si="80"/>
        <v>36779.949999999997</v>
      </c>
      <c r="I118" s="288"/>
      <c r="J118" s="142">
        <f>ROUND((D118*E118+F118*G118+H118*I118),2)</f>
        <v>960323.18</v>
      </c>
      <c r="K118" s="141">
        <f t="shared" si="81"/>
        <v>35546.49</v>
      </c>
      <c r="L118" s="288"/>
      <c r="M118" s="141">
        <f t="shared" si="82"/>
        <v>43923.6</v>
      </c>
      <c r="N118" s="288"/>
      <c r="O118" s="141">
        <f t="shared" si="83"/>
        <v>41904.99</v>
      </c>
      <c r="P118" s="291"/>
      <c r="Q118" s="142">
        <f>ROUND((K118*L118+M118*N118+O118*P118),2)</f>
        <v>0</v>
      </c>
      <c r="R118" s="141">
        <f t="shared" si="84"/>
        <v>41274.050000000003</v>
      </c>
      <c r="S118" s="291"/>
      <c r="T118" s="141">
        <f t="shared" si="85"/>
        <v>51108.05</v>
      </c>
      <c r="U118" s="291"/>
      <c r="V118" s="141">
        <f t="shared" si="86"/>
        <v>48738.38</v>
      </c>
      <c r="W118" s="291"/>
      <c r="X118" s="142">
        <f>ROUND((R118*S118+T118*U118+V118*W118),2)</f>
        <v>0</v>
      </c>
      <c r="Y118" s="141">
        <f t="shared" si="87"/>
        <v>45569.73</v>
      </c>
      <c r="Z118" s="291"/>
      <c r="AA118" s="141">
        <f t="shared" si="88"/>
        <v>56496.39</v>
      </c>
      <c r="AB118" s="291"/>
      <c r="AC118" s="142">
        <f>ROUND((Y118*Z118+AA118*AB118),2)</f>
        <v>0</v>
      </c>
      <c r="AD118" s="141">
        <f t="shared" si="89"/>
        <v>54161.08</v>
      </c>
      <c r="AE118" s="288">
        <v>0</v>
      </c>
      <c r="AF118" s="141">
        <f t="shared" si="90"/>
        <v>67273.070000000007</v>
      </c>
      <c r="AG118" s="288">
        <v>1</v>
      </c>
      <c r="AH118" s="141">
        <f t="shared" si="91"/>
        <v>64113.51</v>
      </c>
      <c r="AI118" s="292"/>
      <c r="AJ118" s="142">
        <f>ROUND((AD118*AE118+AF118*AG118+AH118*AI118),2)</f>
        <v>67273.070000000007</v>
      </c>
      <c r="AK118" s="141">
        <f t="shared" si="92"/>
        <v>29360.82</v>
      </c>
      <c r="AL118" s="292"/>
      <c r="AM118" s="141">
        <f t="shared" si="93"/>
        <v>36645.26</v>
      </c>
      <c r="AN118" s="292"/>
      <c r="AO118" s="141">
        <f t="shared" si="94"/>
        <v>34889.949999999997</v>
      </c>
      <c r="AP118" s="292"/>
      <c r="AQ118" s="142">
        <f>ROUND((AK118*AL118+AM118*AN118+AO118*AP118),2)</f>
        <v>0</v>
      </c>
      <c r="AR118" s="141">
        <f t="shared" si="95"/>
        <v>35718.379999999997</v>
      </c>
      <c r="AS118" s="288"/>
      <c r="AT118" s="142">
        <f>ROUND((AR118*AS118),2)</f>
        <v>0</v>
      </c>
      <c r="AU118" s="143">
        <f>AT118+AQ118+AJ118+AC118+X118+Q118+J118</f>
        <v>1027596.25</v>
      </c>
      <c r="AV118" s="292"/>
      <c r="AW118" s="141">
        <f t="shared" si="96"/>
        <v>65258.22</v>
      </c>
      <c r="AX118" s="291"/>
      <c r="AY118" s="141">
        <f t="shared" si="97"/>
        <v>81192.94</v>
      </c>
      <c r="AZ118" s="309"/>
      <c r="BA118" s="141">
        <f t="shared" si="98"/>
        <v>77353.2</v>
      </c>
      <c r="BB118" s="291"/>
      <c r="BC118" s="142">
        <f>ROUND((AW118*AX118+AY118*AZ118+BA118*BB118),2)</f>
        <v>0</v>
      </c>
      <c r="BD118" s="141">
        <f t="shared" si="99"/>
        <v>77787.27</v>
      </c>
      <c r="BE118" s="291"/>
      <c r="BF118" s="141">
        <f t="shared" si="100"/>
        <v>96908.93</v>
      </c>
      <c r="BG118" s="291"/>
      <c r="BH118" s="142">
        <f>ROUND((BD118*BE118+BF118*BG118),2)</f>
        <v>0</v>
      </c>
      <c r="BI118" s="144">
        <f>BH118+BC118</f>
        <v>0</v>
      </c>
      <c r="BJ118" s="141">
        <f t="shared" si="101"/>
        <v>25708.01</v>
      </c>
      <c r="BK118" s="291"/>
      <c r="BL118" s="141">
        <f t="shared" si="102"/>
        <v>27763.9</v>
      </c>
      <c r="BM118" s="291"/>
      <c r="BN118" s="141">
        <f t="shared" si="103"/>
        <v>23851.91</v>
      </c>
      <c r="BO118" s="291"/>
      <c r="BP118" s="142">
        <f>ROUND((BJ118*BK118+BL118*BM118+BN118*BO118),2)</f>
        <v>0</v>
      </c>
      <c r="BQ118" s="141">
        <f t="shared" si="104"/>
        <v>29360.82</v>
      </c>
      <c r="BR118" s="291"/>
      <c r="BS118" s="141">
        <f t="shared" si="105"/>
        <v>36645.26</v>
      </c>
      <c r="BT118" s="291"/>
      <c r="BU118" s="141">
        <f t="shared" si="106"/>
        <v>34889.949999999997</v>
      </c>
      <c r="BV118" s="291"/>
      <c r="BW118" s="142">
        <f>ROUND((BQ118*BR118+BS118*BT118+BU118*BV118),2)</f>
        <v>0</v>
      </c>
      <c r="BX118" s="293">
        <f t="shared" si="124"/>
        <v>28</v>
      </c>
      <c r="BY118" s="117"/>
      <c r="BZ118" s="117"/>
    </row>
    <row r="119" spans="1:78" s="116" customFormat="1" ht="22.5">
      <c r="A119" s="122"/>
      <c r="B119" s="286" t="s">
        <v>491</v>
      </c>
      <c r="C119" s="287" t="s">
        <v>434</v>
      </c>
      <c r="D119" s="141">
        <f t="shared" si="78"/>
        <v>31250.82</v>
      </c>
      <c r="E119" s="288">
        <v>17</v>
      </c>
      <c r="F119" s="141">
        <f t="shared" si="79"/>
        <v>38535.26</v>
      </c>
      <c r="G119" s="288">
        <v>20</v>
      </c>
      <c r="H119" s="141">
        <f t="shared" si="80"/>
        <v>36779.949999999997</v>
      </c>
      <c r="I119" s="288">
        <v>0</v>
      </c>
      <c r="J119" s="142">
        <f>ROUND((D119*E119+F119*G119+H119*I119),2)</f>
        <v>1301969.1399999999</v>
      </c>
      <c r="K119" s="141">
        <f t="shared" si="81"/>
        <v>35546.49</v>
      </c>
      <c r="L119" s="288"/>
      <c r="M119" s="141">
        <f t="shared" si="82"/>
        <v>43923.6</v>
      </c>
      <c r="N119" s="288"/>
      <c r="O119" s="141">
        <f t="shared" si="83"/>
        <v>41904.99</v>
      </c>
      <c r="P119" s="288"/>
      <c r="Q119" s="142">
        <f>ROUND((K119*L119+M119*N119+O119*P119),2)</f>
        <v>0</v>
      </c>
      <c r="R119" s="141">
        <f t="shared" si="84"/>
        <v>41274.050000000003</v>
      </c>
      <c r="S119" s="288"/>
      <c r="T119" s="141">
        <f t="shared" si="85"/>
        <v>51108.05</v>
      </c>
      <c r="U119" s="288"/>
      <c r="V119" s="141">
        <f t="shared" si="86"/>
        <v>48738.38</v>
      </c>
      <c r="W119" s="288"/>
      <c r="X119" s="142">
        <f>ROUND((R119*S119+T119*U119+V119*W119),2)</f>
        <v>0</v>
      </c>
      <c r="Y119" s="141">
        <f t="shared" si="87"/>
        <v>45569.73</v>
      </c>
      <c r="Z119" s="288"/>
      <c r="AA119" s="141">
        <f t="shared" si="88"/>
        <v>56496.39</v>
      </c>
      <c r="AB119" s="288"/>
      <c r="AC119" s="142">
        <f>ROUND((Y119*Z119+AA119*AB119),2)</f>
        <v>0</v>
      </c>
      <c r="AD119" s="141">
        <f t="shared" si="89"/>
        <v>54161.08</v>
      </c>
      <c r="AE119" s="288">
        <v>3</v>
      </c>
      <c r="AF119" s="141">
        <f t="shared" si="90"/>
        <v>67273.070000000007</v>
      </c>
      <c r="AG119" s="288">
        <v>0</v>
      </c>
      <c r="AH119" s="141">
        <f t="shared" si="91"/>
        <v>64113.51</v>
      </c>
      <c r="AI119" s="288"/>
      <c r="AJ119" s="142">
        <f>ROUND((AD119*AE119+AF119*AG119+AH119*AI119),2)</f>
        <v>162483.24</v>
      </c>
      <c r="AK119" s="141">
        <f t="shared" si="92"/>
        <v>29360.82</v>
      </c>
      <c r="AL119" s="288"/>
      <c r="AM119" s="141">
        <f t="shared" si="93"/>
        <v>36645.26</v>
      </c>
      <c r="AN119" s="288"/>
      <c r="AO119" s="141">
        <f t="shared" si="94"/>
        <v>34889.949999999997</v>
      </c>
      <c r="AP119" s="288"/>
      <c r="AQ119" s="142">
        <f>ROUND((AK119*AL119+AM119*AN119+AO119*AP119),2)</f>
        <v>0</v>
      </c>
      <c r="AR119" s="141">
        <f t="shared" si="95"/>
        <v>35718.379999999997</v>
      </c>
      <c r="AS119" s="288"/>
      <c r="AT119" s="142">
        <f>ROUND((AR119*AS119),2)</f>
        <v>0</v>
      </c>
      <c r="AU119" s="143">
        <f>AT119+AQ119+AJ119+AC119+X119+Q119+J119</f>
        <v>1464452.38</v>
      </c>
      <c r="AV119" s="288"/>
      <c r="AW119" s="141">
        <f t="shared" si="96"/>
        <v>65258.22</v>
      </c>
      <c r="AX119" s="288"/>
      <c r="AY119" s="141">
        <f t="shared" si="97"/>
        <v>81192.94</v>
      </c>
      <c r="AZ119" s="288"/>
      <c r="BA119" s="141">
        <f t="shared" si="98"/>
        <v>77353.2</v>
      </c>
      <c r="BB119" s="288"/>
      <c r="BC119" s="142">
        <f>ROUND((AW119*AX119+AY119*AZ119+BA119*BB119),2)</f>
        <v>0</v>
      </c>
      <c r="BD119" s="141">
        <f t="shared" si="99"/>
        <v>77787.27</v>
      </c>
      <c r="BE119" s="288"/>
      <c r="BF119" s="141">
        <f t="shared" si="100"/>
        <v>96908.93</v>
      </c>
      <c r="BG119" s="288"/>
      <c r="BH119" s="142">
        <f>ROUND((BD119*BE119+BF119*BG119),2)</f>
        <v>0</v>
      </c>
      <c r="BI119" s="144">
        <f>BH119+BC119</f>
        <v>0</v>
      </c>
      <c r="BJ119" s="141">
        <f t="shared" si="101"/>
        <v>25708.01</v>
      </c>
      <c r="BK119" s="288"/>
      <c r="BL119" s="141">
        <f t="shared" si="102"/>
        <v>27763.9</v>
      </c>
      <c r="BM119" s="288"/>
      <c r="BN119" s="141">
        <f t="shared" si="103"/>
        <v>23851.91</v>
      </c>
      <c r="BO119" s="288"/>
      <c r="BP119" s="142">
        <f>ROUND((BJ119*BK119+BL119*BM119+BN119*BO119),2)</f>
        <v>0</v>
      </c>
      <c r="BQ119" s="141">
        <f t="shared" si="104"/>
        <v>29360.82</v>
      </c>
      <c r="BR119" s="288"/>
      <c r="BS119" s="141">
        <f t="shared" si="105"/>
        <v>36645.26</v>
      </c>
      <c r="BT119" s="288"/>
      <c r="BU119" s="141">
        <f t="shared" si="106"/>
        <v>34889.949999999997</v>
      </c>
      <c r="BV119" s="288"/>
      <c r="BW119" s="142">
        <f>ROUND((BQ119*BR119+BS119*BT119+BU119*BV119),2)</f>
        <v>0</v>
      </c>
      <c r="BX119" s="304">
        <f t="shared" si="124"/>
        <v>40</v>
      </c>
      <c r="BY119" s="117"/>
      <c r="BZ119" s="117"/>
    </row>
    <row r="120" spans="1:78" s="193" customFormat="1" ht="30">
      <c r="A120" s="190"/>
      <c r="B120" s="294" t="s">
        <v>492</v>
      </c>
      <c r="C120" s="310"/>
      <c r="D120" s="141">
        <f t="shared" si="78"/>
        <v>31250.82</v>
      </c>
      <c r="E120" s="296">
        <f>E117+E118+E119</f>
        <v>315</v>
      </c>
      <c r="F120" s="141">
        <f t="shared" si="79"/>
        <v>38535.26</v>
      </c>
      <c r="G120" s="296">
        <f>G117+G118+G119</f>
        <v>350</v>
      </c>
      <c r="H120" s="141">
        <f t="shared" si="80"/>
        <v>36779.949999999997</v>
      </c>
      <c r="I120" s="296">
        <f>I117+I118+I119</f>
        <v>67</v>
      </c>
      <c r="J120" s="299">
        <f>J117+J118+J119</f>
        <v>25795605.949999999</v>
      </c>
      <c r="K120" s="141">
        <f t="shared" si="81"/>
        <v>35546.49</v>
      </c>
      <c r="L120" s="300">
        <f>L117+L118+L119</f>
        <v>0</v>
      </c>
      <c r="M120" s="141">
        <f t="shared" si="82"/>
        <v>43923.6</v>
      </c>
      <c r="N120" s="300">
        <f>N117+N118+N119</f>
        <v>0</v>
      </c>
      <c r="O120" s="141">
        <f t="shared" si="83"/>
        <v>41904.99</v>
      </c>
      <c r="P120" s="300">
        <f>P117+P118+P119</f>
        <v>0</v>
      </c>
      <c r="Q120" s="300">
        <f>Q117+Q118+Q119</f>
        <v>0</v>
      </c>
      <c r="R120" s="141">
        <f t="shared" si="84"/>
        <v>41274.050000000003</v>
      </c>
      <c r="S120" s="300">
        <f>S117+S118+S119</f>
        <v>0</v>
      </c>
      <c r="T120" s="141">
        <f t="shared" si="85"/>
        <v>51108.05</v>
      </c>
      <c r="U120" s="300">
        <f>U117+U118+U119</f>
        <v>0</v>
      </c>
      <c r="V120" s="141">
        <f t="shared" si="86"/>
        <v>48738.38</v>
      </c>
      <c r="W120" s="300">
        <f>W117+W118+W119</f>
        <v>0</v>
      </c>
      <c r="X120" s="300">
        <f>X117+X118+X119</f>
        <v>0</v>
      </c>
      <c r="Y120" s="141">
        <f t="shared" si="87"/>
        <v>45569.73</v>
      </c>
      <c r="Z120" s="300">
        <f>Z117+Z118+Z119</f>
        <v>0</v>
      </c>
      <c r="AA120" s="141">
        <f t="shared" si="88"/>
        <v>56496.39</v>
      </c>
      <c r="AB120" s="300">
        <f>AB117+AB118+AB119</f>
        <v>0</v>
      </c>
      <c r="AC120" s="300">
        <f>AC117+AC118+AC119</f>
        <v>0</v>
      </c>
      <c r="AD120" s="141">
        <f t="shared" si="89"/>
        <v>54161.08</v>
      </c>
      <c r="AE120" s="296">
        <f>AE117+AE118+AE119</f>
        <v>5</v>
      </c>
      <c r="AF120" s="141">
        <f t="shared" si="90"/>
        <v>67273.070000000007</v>
      </c>
      <c r="AG120" s="296">
        <f>AG117+AG118+AG119</f>
        <v>8</v>
      </c>
      <c r="AH120" s="141">
        <f t="shared" si="91"/>
        <v>64113.51</v>
      </c>
      <c r="AI120" s="300">
        <f>AI117+AI118+AI119</f>
        <v>0</v>
      </c>
      <c r="AJ120" s="300">
        <f>AJ117+AJ118+AJ119</f>
        <v>808989.96</v>
      </c>
      <c r="AK120" s="141">
        <f t="shared" si="92"/>
        <v>29360.82</v>
      </c>
      <c r="AL120" s="300">
        <f>AL117+AL118+AL119</f>
        <v>0</v>
      </c>
      <c r="AM120" s="141">
        <f t="shared" si="93"/>
        <v>36645.26</v>
      </c>
      <c r="AN120" s="300">
        <f>AN117+AN118+AN119</f>
        <v>0</v>
      </c>
      <c r="AO120" s="141">
        <f t="shared" si="94"/>
        <v>34889.949999999997</v>
      </c>
      <c r="AP120" s="300">
        <f>AP117+AP118+AP119</f>
        <v>0</v>
      </c>
      <c r="AQ120" s="300">
        <f>AQ117+AQ118+AQ119</f>
        <v>0</v>
      </c>
      <c r="AR120" s="141">
        <f t="shared" si="95"/>
        <v>35718.379999999997</v>
      </c>
      <c r="AS120" s="300">
        <f>AS117+AS118+AS119</f>
        <v>0</v>
      </c>
      <c r="AT120" s="300">
        <f>AT117+AT118+AT119</f>
        <v>0</v>
      </c>
      <c r="AU120" s="750">
        <f>AU117+AU118+AU119</f>
        <v>26604595.909999996</v>
      </c>
      <c r="AV120" s="300">
        <f>AV117+AV118+AV119</f>
        <v>0</v>
      </c>
      <c r="AW120" s="141">
        <f t="shared" si="96"/>
        <v>65258.22</v>
      </c>
      <c r="AX120" s="300">
        <f>AX117+AX118+AX119</f>
        <v>0</v>
      </c>
      <c r="AY120" s="141">
        <f t="shared" si="97"/>
        <v>81192.94</v>
      </c>
      <c r="AZ120" s="300">
        <f>AZ117+AZ118+AZ119</f>
        <v>0</v>
      </c>
      <c r="BA120" s="141">
        <f t="shared" si="98"/>
        <v>77353.2</v>
      </c>
      <c r="BB120" s="300">
        <f>BB117+BB118+BB119</f>
        <v>0</v>
      </c>
      <c r="BC120" s="300">
        <f>BC117+BC118+BC119</f>
        <v>0</v>
      </c>
      <c r="BD120" s="141">
        <f t="shared" si="99"/>
        <v>77787.27</v>
      </c>
      <c r="BE120" s="300">
        <f>BE117+BE118+BE119</f>
        <v>0</v>
      </c>
      <c r="BF120" s="141">
        <f t="shared" si="100"/>
        <v>96908.93</v>
      </c>
      <c r="BG120" s="300">
        <f>BG117+BG118+BG119</f>
        <v>0</v>
      </c>
      <c r="BH120" s="300">
        <f>BH117+BH118+BH119</f>
        <v>0</v>
      </c>
      <c r="BI120" s="300">
        <f>BI117+BI118+BI119</f>
        <v>0</v>
      </c>
      <c r="BJ120" s="141">
        <f t="shared" si="101"/>
        <v>25708.01</v>
      </c>
      <c r="BK120" s="300">
        <f>BK117+BK118+BK119</f>
        <v>0</v>
      </c>
      <c r="BL120" s="141">
        <f t="shared" si="102"/>
        <v>27763.9</v>
      </c>
      <c r="BM120" s="300">
        <f>BM117+BM118+BM119</f>
        <v>0</v>
      </c>
      <c r="BN120" s="141">
        <f t="shared" si="103"/>
        <v>23851.91</v>
      </c>
      <c r="BO120" s="300">
        <f>BO117+BO118+BO119</f>
        <v>0</v>
      </c>
      <c r="BP120" s="300">
        <f>BP117+BP118+BP119</f>
        <v>0</v>
      </c>
      <c r="BQ120" s="141">
        <f t="shared" si="104"/>
        <v>29360.82</v>
      </c>
      <c r="BR120" s="300">
        <f t="shared" ref="BR120:BW120" si="125">BR117+BR118+BR119</f>
        <v>0</v>
      </c>
      <c r="BS120" s="141">
        <f t="shared" si="105"/>
        <v>36645.26</v>
      </c>
      <c r="BT120" s="300">
        <f t="shared" si="125"/>
        <v>0</v>
      </c>
      <c r="BU120" s="141">
        <f t="shared" si="106"/>
        <v>34889.949999999997</v>
      </c>
      <c r="BV120" s="300">
        <f t="shared" si="125"/>
        <v>0</v>
      </c>
      <c r="BW120" s="300">
        <f t="shared" si="125"/>
        <v>0</v>
      </c>
      <c r="BX120" s="311">
        <f>BX117+BX118+BX119</f>
        <v>745</v>
      </c>
      <c r="BY120" s="192"/>
      <c r="BZ120" s="192"/>
    </row>
    <row r="121" spans="1:78" s="116" customFormat="1" ht="15.75">
      <c r="A121" s="122" t="s">
        <v>396</v>
      </c>
      <c r="B121" s="312" t="s">
        <v>211</v>
      </c>
      <c r="C121" s="284" t="s">
        <v>388</v>
      </c>
      <c r="D121" s="141">
        <f t="shared" si="78"/>
        <v>31250.82</v>
      </c>
      <c r="E121" s="289">
        <v>289</v>
      </c>
      <c r="F121" s="141">
        <f t="shared" si="79"/>
        <v>38535.26</v>
      </c>
      <c r="G121" s="289">
        <v>306</v>
      </c>
      <c r="H121" s="141">
        <f t="shared" si="80"/>
        <v>36779.949999999997</v>
      </c>
      <c r="I121" s="289">
        <v>62</v>
      </c>
      <c r="J121" s="142">
        <f>ROUND((D121*E121+F121*G121+H121*I121),2)</f>
        <v>23103633.440000001</v>
      </c>
      <c r="K121" s="141">
        <f t="shared" si="81"/>
        <v>35546.49</v>
      </c>
      <c r="L121" s="289"/>
      <c r="M121" s="141">
        <f t="shared" si="82"/>
        <v>43923.6</v>
      </c>
      <c r="N121" s="289"/>
      <c r="O121" s="141">
        <f t="shared" si="83"/>
        <v>41904.99</v>
      </c>
      <c r="P121" s="289"/>
      <c r="Q121" s="142">
        <f>ROUND((K121*L121+M121*N121+O121*P121),2)</f>
        <v>0</v>
      </c>
      <c r="R121" s="141">
        <f t="shared" si="84"/>
        <v>41274.050000000003</v>
      </c>
      <c r="S121" s="290"/>
      <c r="T121" s="141">
        <f t="shared" si="85"/>
        <v>51108.05</v>
      </c>
      <c r="U121" s="290"/>
      <c r="V121" s="141">
        <f t="shared" si="86"/>
        <v>48738.38</v>
      </c>
      <c r="W121" s="290"/>
      <c r="X121" s="142">
        <f>ROUND((R121*S121+T121*U121+V121*W121),2)</f>
        <v>0</v>
      </c>
      <c r="Y121" s="141">
        <f t="shared" si="87"/>
        <v>45569.73</v>
      </c>
      <c r="Z121" s="290"/>
      <c r="AA121" s="141">
        <f t="shared" si="88"/>
        <v>56496.39</v>
      </c>
      <c r="AB121" s="290"/>
      <c r="AC121" s="142">
        <f>ROUND((Y121*Z121+AA121*AB121),2)</f>
        <v>0</v>
      </c>
      <c r="AD121" s="141">
        <f t="shared" si="89"/>
        <v>54161.08</v>
      </c>
      <c r="AE121" s="289">
        <v>1</v>
      </c>
      <c r="AF121" s="141">
        <f t="shared" si="90"/>
        <v>67273.070000000007</v>
      </c>
      <c r="AG121" s="289">
        <v>7</v>
      </c>
      <c r="AH121" s="141">
        <f t="shared" si="91"/>
        <v>64113.51</v>
      </c>
      <c r="AI121" s="289"/>
      <c r="AJ121" s="142">
        <f>ROUND((AD121*AE121+AF121*AG121+AH121*AI121),2)</f>
        <v>525072.56999999995</v>
      </c>
      <c r="AK121" s="141">
        <f t="shared" si="92"/>
        <v>29360.82</v>
      </c>
      <c r="AL121" s="289"/>
      <c r="AM121" s="141">
        <f t="shared" si="93"/>
        <v>36645.26</v>
      </c>
      <c r="AN121" s="289"/>
      <c r="AO121" s="141">
        <f t="shared" si="94"/>
        <v>34889.949999999997</v>
      </c>
      <c r="AP121" s="289"/>
      <c r="AQ121" s="142">
        <f>ROUND((AK121*AL121+AM121*AN121+AO121*AP121),2)</f>
        <v>0</v>
      </c>
      <c r="AR121" s="141">
        <f t="shared" si="95"/>
        <v>35718.379999999997</v>
      </c>
      <c r="AS121" s="288"/>
      <c r="AT121" s="142">
        <f>ROUND((AR121*AS121),2)</f>
        <v>0</v>
      </c>
      <c r="AU121" s="143">
        <f>AT121+AQ121+AJ121+AC121+X121+Q121+J121</f>
        <v>23628706.010000002</v>
      </c>
      <c r="AV121" s="292"/>
      <c r="AW121" s="141">
        <f t="shared" si="96"/>
        <v>65258.22</v>
      </c>
      <c r="AX121" s="290"/>
      <c r="AY121" s="141">
        <f t="shared" si="97"/>
        <v>81192.94</v>
      </c>
      <c r="AZ121" s="290"/>
      <c r="BA121" s="141">
        <f t="shared" si="98"/>
        <v>77353.2</v>
      </c>
      <c r="BB121" s="290"/>
      <c r="BC121" s="142">
        <f>ROUND((AW121*AX121+AY121*AZ121+BA121*BB121),2)</f>
        <v>0</v>
      </c>
      <c r="BD121" s="141">
        <f t="shared" si="99"/>
        <v>77787.27</v>
      </c>
      <c r="BE121" s="290"/>
      <c r="BF121" s="141">
        <f t="shared" si="100"/>
        <v>96908.93</v>
      </c>
      <c r="BG121" s="290"/>
      <c r="BH121" s="142">
        <f>ROUND((BD121*BE121+BF121*BG121),2)</f>
        <v>0</v>
      </c>
      <c r="BI121" s="144">
        <f>BH121+BC121</f>
        <v>0</v>
      </c>
      <c r="BJ121" s="141">
        <f t="shared" si="101"/>
        <v>25708.01</v>
      </c>
      <c r="BK121" s="290"/>
      <c r="BL121" s="141">
        <f t="shared" si="102"/>
        <v>27763.9</v>
      </c>
      <c r="BM121" s="290"/>
      <c r="BN121" s="141">
        <f t="shared" si="103"/>
        <v>23851.91</v>
      </c>
      <c r="BO121" s="290"/>
      <c r="BP121" s="142">
        <f>ROUND((BJ121*BK121+BL121*BM121+BN121*BO121),2)</f>
        <v>0</v>
      </c>
      <c r="BQ121" s="141">
        <f t="shared" si="104"/>
        <v>29360.82</v>
      </c>
      <c r="BR121" s="290"/>
      <c r="BS121" s="141">
        <f t="shared" si="105"/>
        <v>36645.26</v>
      </c>
      <c r="BT121" s="290"/>
      <c r="BU121" s="141">
        <f t="shared" si="106"/>
        <v>34889.949999999997</v>
      </c>
      <c r="BV121" s="290"/>
      <c r="BW121" s="142">
        <f>ROUND((BQ121*BR121+BS121*BT121+BU121*BV121),2)</f>
        <v>0</v>
      </c>
      <c r="BX121" s="293">
        <f t="shared" si="124"/>
        <v>665</v>
      </c>
      <c r="BY121" s="117"/>
      <c r="BZ121" s="117"/>
    </row>
    <row r="122" spans="1:78" s="116" customFormat="1" ht="22.5">
      <c r="A122" s="122"/>
      <c r="B122" s="286" t="s">
        <v>493</v>
      </c>
      <c r="C122" s="287" t="s">
        <v>434</v>
      </c>
      <c r="D122" s="141">
        <f t="shared" si="78"/>
        <v>31250.82</v>
      </c>
      <c r="E122" s="288">
        <v>14</v>
      </c>
      <c r="F122" s="141">
        <f t="shared" si="79"/>
        <v>38535.26</v>
      </c>
      <c r="G122" s="288">
        <v>15</v>
      </c>
      <c r="H122" s="141">
        <f t="shared" si="80"/>
        <v>36779.949999999997</v>
      </c>
      <c r="I122" s="288">
        <v>0</v>
      </c>
      <c r="J122" s="142">
        <f>ROUND((D122*E122+F122*G122+H122*I122),2)</f>
        <v>1015540.38</v>
      </c>
      <c r="K122" s="141">
        <f t="shared" si="81"/>
        <v>35546.49</v>
      </c>
      <c r="L122" s="289"/>
      <c r="M122" s="141">
        <f t="shared" si="82"/>
        <v>43923.6</v>
      </c>
      <c r="N122" s="289"/>
      <c r="O122" s="141">
        <f t="shared" si="83"/>
        <v>41904.99</v>
      </c>
      <c r="P122" s="289"/>
      <c r="Q122" s="142">
        <f>ROUND((K122*L122+M122*N122+O122*P122),2)</f>
        <v>0</v>
      </c>
      <c r="R122" s="141">
        <f t="shared" si="84"/>
        <v>41274.050000000003</v>
      </c>
      <c r="S122" s="290"/>
      <c r="T122" s="141">
        <f t="shared" si="85"/>
        <v>51108.05</v>
      </c>
      <c r="U122" s="290"/>
      <c r="V122" s="141">
        <f t="shared" si="86"/>
        <v>48738.38</v>
      </c>
      <c r="W122" s="290"/>
      <c r="X122" s="142">
        <f>ROUND((R122*S122+T122*U122+V122*W122),2)</f>
        <v>0</v>
      </c>
      <c r="Y122" s="141">
        <f t="shared" si="87"/>
        <v>45569.73</v>
      </c>
      <c r="Z122" s="290"/>
      <c r="AA122" s="141">
        <f t="shared" si="88"/>
        <v>56496.39</v>
      </c>
      <c r="AB122" s="290"/>
      <c r="AC122" s="142">
        <f>ROUND((Y122*Z122+AA122*AB122),2)</f>
        <v>0</v>
      </c>
      <c r="AD122" s="141">
        <f t="shared" si="89"/>
        <v>54161.08</v>
      </c>
      <c r="AE122" s="288"/>
      <c r="AF122" s="141">
        <f t="shared" si="90"/>
        <v>67273.070000000007</v>
      </c>
      <c r="AG122" s="288"/>
      <c r="AH122" s="141">
        <f t="shared" si="91"/>
        <v>64113.51</v>
      </c>
      <c r="AI122" s="289"/>
      <c r="AJ122" s="142">
        <f>ROUND((AD122*AE122+AF122*AG122+AH122*AI122),2)</f>
        <v>0</v>
      </c>
      <c r="AK122" s="141">
        <f t="shared" si="92"/>
        <v>29360.82</v>
      </c>
      <c r="AL122" s="289"/>
      <c r="AM122" s="141">
        <f t="shared" si="93"/>
        <v>36645.26</v>
      </c>
      <c r="AN122" s="289"/>
      <c r="AO122" s="141">
        <f t="shared" si="94"/>
        <v>34889.949999999997</v>
      </c>
      <c r="AP122" s="289"/>
      <c r="AQ122" s="142">
        <f>ROUND((AK122*AL122+AM122*AN122+AO122*AP122),2)</f>
        <v>0</v>
      </c>
      <c r="AR122" s="141">
        <f t="shared" si="95"/>
        <v>35718.379999999997</v>
      </c>
      <c r="AS122" s="288"/>
      <c r="AT122" s="142">
        <f>ROUND((AR122*AS122),2)</f>
        <v>0</v>
      </c>
      <c r="AU122" s="143">
        <f>AT122+AQ122+AJ122+AC122+X122+Q122+J122</f>
        <v>1015540.38</v>
      </c>
      <c r="AV122" s="292"/>
      <c r="AW122" s="141">
        <f t="shared" si="96"/>
        <v>65258.22</v>
      </c>
      <c r="AX122" s="290"/>
      <c r="AY122" s="141">
        <f t="shared" si="97"/>
        <v>81192.94</v>
      </c>
      <c r="AZ122" s="290"/>
      <c r="BA122" s="141">
        <f t="shared" si="98"/>
        <v>77353.2</v>
      </c>
      <c r="BB122" s="290"/>
      <c r="BC122" s="142">
        <f>ROUND((AW122*AX122+AY122*AZ122+BA122*BB122),2)</f>
        <v>0</v>
      </c>
      <c r="BD122" s="141">
        <f t="shared" si="99"/>
        <v>77787.27</v>
      </c>
      <c r="BE122" s="290"/>
      <c r="BF122" s="141">
        <f t="shared" si="100"/>
        <v>96908.93</v>
      </c>
      <c r="BG122" s="290"/>
      <c r="BH122" s="142">
        <f>ROUND((BD122*BE122+BF122*BG122),2)</f>
        <v>0</v>
      </c>
      <c r="BI122" s="144">
        <f>BH122+BC122</f>
        <v>0</v>
      </c>
      <c r="BJ122" s="141">
        <f t="shared" si="101"/>
        <v>25708.01</v>
      </c>
      <c r="BK122" s="290"/>
      <c r="BL122" s="141">
        <f t="shared" si="102"/>
        <v>27763.9</v>
      </c>
      <c r="BM122" s="290"/>
      <c r="BN122" s="141">
        <f t="shared" si="103"/>
        <v>23851.91</v>
      </c>
      <c r="BO122" s="291"/>
      <c r="BP122" s="142">
        <f>ROUND((BJ122*BK122+BL122*BM122+BN122*BO122),2)</f>
        <v>0</v>
      </c>
      <c r="BQ122" s="141">
        <f t="shared" si="104"/>
        <v>29360.82</v>
      </c>
      <c r="BR122" s="290"/>
      <c r="BS122" s="141">
        <f t="shared" si="105"/>
        <v>36645.26</v>
      </c>
      <c r="BT122" s="290"/>
      <c r="BU122" s="141">
        <f t="shared" si="106"/>
        <v>34889.949999999997</v>
      </c>
      <c r="BV122" s="290"/>
      <c r="BW122" s="142">
        <f>ROUND((BQ122*BR122+BS122*BT122+BU122*BV122),2)</f>
        <v>0</v>
      </c>
      <c r="BX122" s="293">
        <f t="shared" si="124"/>
        <v>29</v>
      </c>
      <c r="BY122" s="117"/>
      <c r="BZ122" s="117"/>
    </row>
    <row r="123" spans="1:78" s="116" customFormat="1" ht="22.5">
      <c r="A123" s="122"/>
      <c r="B123" s="286" t="s">
        <v>494</v>
      </c>
      <c r="C123" s="287" t="s">
        <v>434</v>
      </c>
      <c r="D123" s="141">
        <f t="shared" si="78"/>
        <v>31250.82</v>
      </c>
      <c r="E123" s="289">
        <v>14</v>
      </c>
      <c r="F123" s="141">
        <f t="shared" si="79"/>
        <v>38535.26</v>
      </c>
      <c r="G123" s="289">
        <v>23</v>
      </c>
      <c r="H123" s="141">
        <f t="shared" si="80"/>
        <v>36779.949999999997</v>
      </c>
      <c r="I123" s="289">
        <v>0</v>
      </c>
      <c r="J123" s="142">
        <f>ROUND((D123*E123+F123*G123+H123*I123),2)</f>
        <v>1323822.46</v>
      </c>
      <c r="K123" s="141">
        <f t="shared" si="81"/>
        <v>35546.49</v>
      </c>
      <c r="L123" s="289"/>
      <c r="M123" s="141">
        <f t="shared" si="82"/>
        <v>43923.6</v>
      </c>
      <c r="N123" s="289"/>
      <c r="O123" s="141">
        <f t="shared" si="83"/>
        <v>41904.99</v>
      </c>
      <c r="P123" s="289"/>
      <c r="Q123" s="142">
        <f>ROUND((K123*L123+M123*N123+O123*P123),2)</f>
        <v>0</v>
      </c>
      <c r="R123" s="141">
        <f t="shared" si="84"/>
        <v>41274.050000000003</v>
      </c>
      <c r="S123" s="290"/>
      <c r="T123" s="141">
        <f t="shared" si="85"/>
        <v>51108.05</v>
      </c>
      <c r="U123" s="290"/>
      <c r="V123" s="141">
        <f t="shared" si="86"/>
        <v>48738.38</v>
      </c>
      <c r="W123" s="290"/>
      <c r="X123" s="142">
        <f>ROUND((R123*S123+T123*U123+V123*W123),2)</f>
        <v>0</v>
      </c>
      <c r="Y123" s="141">
        <f t="shared" si="87"/>
        <v>45569.73</v>
      </c>
      <c r="Z123" s="290"/>
      <c r="AA123" s="141">
        <f t="shared" si="88"/>
        <v>56496.39</v>
      </c>
      <c r="AB123" s="290"/>
      <c r="AC123" s="142">
        <f>ROUND((Y123*Z123+AA123*AB123),2)</f>
        <v>0</v>
      </c>
      <c r="AD123" s="141">
        <f t="shared" si="89"/>
        <v>54161.08</v>
      </c>
      <c r="AE123" s="289"/>
      <c r="AF123" s="141">
        <f t="shared" si="90"/>
        <v>67273.070000000007</v>
      </c>
      <c r="AG123" s="289"/>
      <c r="AH123" s="141">
        <f t="shared" si="91"/>
        <v>64113.51</v>
      </c>
      <c r="AI123" s="289"/>
      <c r="AJ123" s="142">
        <f>ROUND((AD123*AE123+AF123*AG123+AH123*AI123),2)</f>
        <v>0</v>
      </c>
      <c r="AK123" s="141">
        <f t="shared" si="92"/>
        <v>29360.82</v>
      </c>
      <c r="AL123" s="289"/>
      <c r="AM123" s="141">
        <f t="shared" si="93"/>
        <v>36645.26</v>
      </c>
      <c r="AN123" s="289"/>
      <c r="AO123" s="141">
        <f t="shared" si="94"/>
        <v>34889.949999999997</v>
      </c>
      <c r="AP123" s="289"/>
      <c r="AQ123" s="142">
        <f>ROUND((AK123*AL123+AM123*AN123+AO123*AP123),2)</f>
        <v>0</v>
      </c>
      <c r="AR123" s="141">
        <f t="shared" si="95"/>
        <v>35718.379999999997</v>
      </c>
      <c r="AS123" s="288"/>
      <c r="AT123" s="142">
        <f>ROUND((AR123*AS123),2)</f>
        <v>0</v>
      </c>
      <c r="AU123" s="143">
        <f>AT123+AQ123+AJ123+AC123+X123+Q123+J123</f>
        <v>1323822.46</v>
      </c>
      <c r="AV123" s="303"/>
      <c r="AW123" s="141">
        <f t="shared" si="96"/>
        <v>65258.22</v>
      </c>
      <c r="AX123" s="289"/>
      <c r="AY123" s="141">
        <f t="shared" si="97"/>
        <v>81192.94</v>
      </c>
      <c r="AZ123" s="289"/>
      <c r="BA123" s="141">
        <f t="shared" si="98"/>
        <v>77353.2</v>
      </c>
      <c r="BB123" s="289"/>
      <c r="BC123" s="142">
        <f>ROUND((AW123*AX123+AY123*AZ123+BA123*BB123),2)</f>
        <v>0</v>
      </c>
      <c r="BD123" s="141">
        <f t="shared" si="99"/>
        <v>77787.27</v>
      </c>
      <c r="BE123" s="290"/>
      <c r="BF123" s="141">
        <f t="shared" si="100"/>
        <v>96908.93</v>
      </c>
      <c r="BG123" s="290"/>
      <c r="BH123" s="142">
        <f>ROUND((BD123*BE123+BF123*BG123),2)</f>
        <v>0</v>
      </c>
      <c r="BI123" s="144">
        <f>BH123+BC123</f>
        <v>0</v>
      </c>
      <c r="BJ123" s="141">
        <f t="shared" si="101"/>
        <v>25708.01</v>
      </c>
      <c r="BK123" s="290"/>
      <c r="BL123" s="141">
        <f t="shared" si="102"/>
        <v>27763.9</v>
      </c>
      <c r="BM123" s="290"/>
      <c r="BN123" s="141">
        <f t="shared" si="103"/>
        <v>23851.91</v>
      </c>
      <c r="BO123" s="290"/>
      <c r="BP123" s="142">
        <f>ROUND((BJ123*BK123+BL123*BM123+BN123*BO123),2)</f>
        <v>0</v>
      </c>
      <c r="BQ123" s="141">
        <f t="shared" si="104"/>
        <v>29360.82</v>
      </c>
      <c r="BR123" s="290"/>
      <c r="BS123" s="141">
        <f t="shared" si="105"/>
        <v>36645.26</v>
      </c>
      <c r="BT123" s="290"/>
      <c r="BU123" s="141">
        <f t="shared" si="106"/>
        <v>34889.949999999997</v>
      </c>
      <c r="BV123" s="290"/>
      <c r="BW123" s="142">
        <f>ROUND((BQ123*BR123+BS123*BT123+BU123*BV123),2)</f>
        <v>0</v>
      </c>
      <c r="BX123" s="293">
        <f>BV123+BT123+BR123+BO123+BM123+BK123+BG123+BE123+BB123+AZ123+AX123+AS123+AP123+AN123+AL123+AI123+AG123+AE123+AB123+Z123+W123+U123+S123+P123+N123+L123+I123+G123+E123</f>
        <v>37</v>
      </c>
      <c r="BY123" s="117"/>
      <c r="BZ123" s="117"/>
    </row>
    <row r="124" spans="1:78" s="116" customFormat="1" ht="22.5">
      <c r="A124" s="122"/>
      <c r="B124" s="286" t="s">
        <v>495</v>
      </c>
      <c r="C124" s="287" t="s">
        <v>434</v>
      </c>
      <c r="D124" s="141">
        <f t="shared" si="78"/>
        <v>31250.82</v>
      </c>
      <c r="E124" s="288">
        <v>25</v>
      </c>
      <c r="F124" s="141">
        <f t="shared" si="79"/>
        <v>38535.26</v>
      </c>
      <c r="G124" s="288">
        <v>26</v>
      </c>
      <c r="H124" s="141">
        <f t="shared" si="80"/>
        <v>36779.949999999997</v>
      </c>
      <c r="I124" s="288">
        <v>0</v>
      </c>
      <c r="J124" s="142">
        <f>ROUND((D124*E124+F124*G124+H124*I124),2)</f>
        <v>1783187.26</v>
      </c>
      <c r="K124" s="141">
        <f t="shared" si="81"/>
        <v>35546.49</v>
      </c>
      <c r="L124" s="288"/>
      <c r="M124" s="141">
        <f t="shared" si="82"/>
        <v>43923.6</v>
      </c>
      <c r="N124" s="288"/>
      <c r="O124" s="141">
        <f t="shared" si="83"/>
        <v>41904.99</v>
      </c>
      <c r="P124" s="288"/>
      <c r="Q124" s="142">
        <f>ROUND((K124*L124+M124*N124+O124*P124),2)</f>
        <v>0</v>
      </c>
      <c r="R124" s="141">
        <f t="shared" si="84"/>
        <v>41274.050000000003</v>
      </c>
      <c r="S124" s="291"/>
      <c r="T124" s="141">
        <f t="shared" si="85"/>
        <v>51108.05</v>
      </c>
      <c r="U124" s="291"/>
      <c r="V124" s="141">
        <f t="shared" si="86"/>
        <v>48738.38</v>
      </c>
      <c r="W124" s="291"/>
      <c r="X124" s="142">
        <f>ROUND((R124*S124+T124*U124+V124*W124),2)</f>
        <v>0</v>
      </c>
      <c r="Y124" s="141">
        <f t="shared" si="87"/>
        <v>45569.73</v>
      </c>
      <c r="Z124" s="291"/>
      <c r="AA124" s="141">
        <f t="shared" si="88"/>
        <v>56496.39</v>
      </c>
      <c r="AB124" s="291"/>
      <c r="AC124" s="142">
        <f>ROUND((Y124*Z124+AA124*AB124),2)</f>
        <v>0</v>
      </c>
      <c r="AD124" s="141">
        <f t="shared" si="89"/>
        <v>54161.08</v>
      </c>
      <c r="AE124" s="288"/>
      <c r="AF124" s="141">
        <f t="shared" si="90"/>
        <v>67273.070000000007</v>
      </c>
      <c r="AG124" s="288">
        <v>1</v>
      </c>
      <c r="AH124" s="141">
        <f t="shared" si="91"/>
        <v>64113.51</v>
      </c>
      <c r="AI124" s="313"/>
      <c r="AJ124" s="142">
        <f>ROUND((AD124*AE124+AF124*AG124+AH124*AI124),2)</f>
        <v>67273.070000000007</v>
      </c>
      <c r="AK124" s="141">
        <f t="shared" si="92"/>
        <v>29360.82</v>
      </c>
      <c r="AL124" s="313"/>
      <c r="AM124" s="141">
        <f t="shared" si="93"/>
        <v>36645.26</v>
      </c>
      <c r="AN124" s="313"/>
      <c r="AO124" s="141">
        <f t="shared" si="94"/>
        <v>34889.949999999997</v>
      </c>
      <c r="AP124" s="313"/>
      <c r="AQ124" s="142">
        <f>ROUND((AK124*AL124+AM124*AN124+AO124*AP124),2)</f>
        <v>0</v>
      </c>
      <c r="AR124" s="141">
        <f t="shared" si="95"/>
        <v>35718.379999999997</v>
      </c>
      <c r="AS124" s="288"/>
      <c r="AT124" s="142">
        <f>ROUND((AR124*AS124),2)</f>
        <v>0</v>
      </c>
      <c r="AU124" s="143">
        <f>AT124+AQ124+AJ124+AC124+X124+Q124+J124</f>
        <v>1850460.33</v>
      </c>
      <c r="AV124" s="303"/>
      <c r="AW124" s="141">
        <f t="shared" si="96"/>
        <v>65258.22</v>
      </c>
      <c r="AX124" s="313"/>
      <c r="AY124" s="141">
        <f t="shared" si="97"/>
        <v>81192.94</v>
      </c>
      <c r="AZ124" s="313"/>
      <c r="BA124" s="141">
        <f t="shared" si="98"/>
        <v>77353.2</v>
      </c>
      <c r="BB124" s="313"/>
      <c r="BC124" s="142">
        <f>ROUND((AW124*AX124+AY124*AZ124+BA124*BB124),2)</f>
        <v>0</v>
      </c>
      <c r="BD124" s="141">
        <f t="shared" si="99"/>
        <v>77787.27</v>
      </c>
      <c r="BE124" s="291"/>
      <c r="BF124" s="141">
        <f t="shared" si="100"/>
        <v>96908.93</v>
      </c>
      <c r="BG124" s="291"/>
      <c r="BH124" s="142">
        <f>ROUND((BD124*BE124+BF124*BG124),2)</f>
        <v>0</v>
      </c>
      <c r="BI124" s="144">
        <f>BH124+BC124</f>
        <v>0</v>
      </c>
      <c r="BJ124" s="141">
        <f t="shared" si="101"/>
        <v>25708.01</v>
      </c>
      <c r="BK124" s="291"/>
      <c r="BL124" s="141">
        <f t="shared" si="102"/>
        <v>27763.9</v>
      </c>
      <c r="BM124" s="291"/>
      <c r="BN124" s="141">
        <f t="shared" si="103"/>
        <v>23851.91</v>
      </c>
      <c r="BO124" s="291"/>
      <c r="BP124" s="142">
        <f>ROUND((BJ124*BK124+BL124*BM124+BN124*BO124),2)</f>
        <v>0</v>
      </c>
      <c r="BQ124" s="141">
        <f t="shared" si="104"/>
        <v>29360.82</v>
      </c>
      <c r="BR124" s="291"/>
      <c r="BS124" s="141">
        <f t="shared" si="105"/>
        <v>36645.26</v>
      </c>
      <c r="BT124" s="291"/>
      <c r="BU124" s="141">
        <f t="shared" si="106"/>
        <v>34889.949999999997</v>
      </c>
      <c r="BV124" s="291"/>
      <c r="BW124" s="142">
        <f>ROUND((BQ124*BR124+BS124*BT124+BU124*BV124),2)</f>
        <v>0</v>
      </c>
      <c r="BX124" s="293">
        <f>BV124+BT124+BR124+BO124+BM124+BK124+BG124+BE124+BB124+AZ124+AX124+AS124+AP124+AN124+AL124+AI124+AG124+AE124+AB124+Z124+W124+U124+S124+P124+N124+L124+I124+G124+E124</f>
        <v>52</v>
      </c>
      <c r="BY124" s="117"/>
      <c r="BZ124" s="117"/>
    </row>
    <row r="125" spans="1:78" s="159" customFormat="1" ht="30">
      <c r="A125" s="746"/>
      <c r="B125" s="294" t="s">
        <v>496</v>
      </c>
      <c r="C125" s="747"/>
      <c r="D125" s="141">
        <f t="shared" si="78"/>
        <v>31250.82</v>
      </c>
      <c r="E125" s="314">
        <f>E121+E122+E123+E124</f>
        <v>342</v>
      </c>
      <c r="F125" s="141">
        <f t="shared" si="79"/>
        <v>38535.26</v>
      </c>
      <c r="G125" s="314">
        <f>G121+G122+G123+G124</f>
        <v>370</v>
      </c>
      <c r="H125" s="141">
        <f t="shared" si="80"/>
        <v>36779.949999999997</v>
      </c>
      <c r="I125" s="314">
        <f>I121+I122+I123+I124</f>
        <v>62</v>
      </c>
      <c r="J125" s="315">
        <f>J121+J122+J123+J124</f>
        <v>27226183.540000003</v>
      </c>
      <c r="K125" s="141">
        <f t="shared" si="81"/>
        <v>35546.49</v>
      </c>
      <c r="L125" s="316">
        <f>L121+L122+L123+L124</f>
        <v>0</v>
      </c>
      <c r="M125" s="141">
        <f t="shared" si="82"/>
        <v>43923.6</v>
      </c>
      <c r="N125" s="316">
        <f>N121+N122+N123+N124</f>
        <v>0</v>
      </c>
      <c r="O125" s="141">
        <f t="shared" si="83"/>
        <v>41904.99</v>
      </c>
      <c r="P125" s="316">
        <f>P121+P122+P123+P124</f>
        <v>0</v>
      </c>
      <c r="Q125" s="315">
        <f>Q121+Q122+Q123+Q124</f>
        <v>0</v>
      </c>
      <c r="R125" s="141">
        <f t="shared" si="84"/>
        <v>41274.050000000003</v>
      </c>
      <c r="S125" s="317">
        <f>S121+S122+S123+S124</f>
        <v>0</v>
      </c>
      <c r="T125" s="141">
        <f t="shared" si="85"/>
        <v>51108.05</v>
      </c>
      <c r="U125" s="317">
        <f>U121+U122+U123+U124</f>
        <v>0</v>
      </c>
      <c r="V125" s="141">
        <f t="shared" si="86"/>
        <v>48738.38</v>
      </c>
      <c r="W125" s="317">
        <f>W121+W122+W123+W124</f>
        <v>0</v>
      </c>
      <c r="X125" s="315">
        <f>X121+X122+X123+X124</f>
        <v>0</v>
      </c>
      <c r="Y125" s="141">
        <f t="shared" si="87"/>
        <v>45569.73</v>
      </c>
      <c r="Z125" s="317">
        <f>Z121+Z122+Z123+Z124</f>
        <v>0</v>
      </c>
      <c r="AA125" s="141">
        <f t="shared" si="88"/>
        <v>56496.39</v>
      </c>
      <c r="AB125" s="317">
        <f>AB121+AB122+AB123+AB124</f>
        <v>0</v>
      </c>
      <c r="AC125" s="315">
        <f>AC121+AC122+AC123+AC124</f>
        <v>0</v>
      </c>
      <c r="AD125" s="141">
        <f t="shared" si="89"/>
        <v>54161.08</v>
      </c>
      <c r="AE125" s="314">
        <f>AE121+AE122+AE123+AE124</f>
        <v>1</v>
      </c>
      <c r="AF125" s="141">
        <f t="shared" si="90"/>
        <v>67273.070000000007</v>
      </c>
      <c r="AG125" s="314">
        <f>AG121+AG122+AG123+AG124</f>
        <v>8</v>
      </c>
      <c r="AH125" s="141">
        <f t="shared" si="91"/>
        <v>64113.51</v>
      </c>
      <c r="AI125" s="318">
        <f>AI121+AI122+AI123+AI124</f>
        <v>0</v>
      </c>
      <c r="AJ125" s="315">
        <f>AJ121+AJ122+AJ123+AJ124</f>
        <v>592345.6399999999</v>
      </c>
      <c r="AK125" s="141">
        <f t="shared" si="92"/>
        <v>29360.82</v>
      </c>
      <c r="AL125" s="318">
        <f>AL121+AL122+AL123+AL124</f>
        <v>0</v>
      </c>
      <c r="AM125" s="141">
        <f t="shared" si="93"/>
        <v>36645.26</v>
      </c>
      <c r="AN125" s="318">
        <f>AN121+AN122+AN123+AN124</f>
        <v>0</v>
      </c>
      <c r="AO125" s="141">
        <f t="shared" si="94"/>
        <v>34889.949999999997</v>
      </c>
      <c r="AP125" s="318">
        <f>AP121+AP122+AP123+AP124</f>
        <v>0</v>
      </c>
      <c r="AQ125" s="315">
        <f>AQ121+AQ122+AQ123+AQ124</f>
        <v>0</v>
      </c>
      <c r="AR125" s="141">
        <f t="shared" si="95"/>
        <v>35718.379999999997</v>
      </c>
      <c r="AS125" s="316">
        <f>AS121+AS122+AS123+AS124</f>
        <v>0</v>
      </c>
      <c r="AT125" s="315">
        <f>AT121+AT122+AT123+AT124</f>
        <v>0</v>
      </c>
      <c r="AU125" s="751">
        <f>AU121+AU122+AU123+AU124</f>
        <v>27818529.18</v>
      </c>
      <c r="AV125" s="319">
        <f>AV121+AV122+AV123+AV124</f>
        <v>0</v>
      </c>
      <c r="AW125" s="141">
        <f t="shared" si="96"/>
        <v>65258.22</v>
      </c>
      <c r="AX125" s="318">
        <f>AX121+AX122+AX123+AX124</f>
        <v>0</v>
      </c>
      <c r="AY125" s="141">
        <f t="shared" si="97"/>
        <v>81192.94</v>
      </c>
      <c r="AZ125" s="318">
        <f>AZ121+AZ122+AZ123+AZ124</f>
        <v>0</v>
      </c>
      <c r="BA125" s="141">
        <f t="shared" si="98"/>
        <v>77353.2</v>
      </c>
      <c r="BB125" s="318">
        <f>BB121+BB122+BB123+BB124</f>
        <v>0</v>
      </c>
      <c r="BC125" s="315">
        <f>BC121+BC122+BC123+BC124</f>
        <v>0</v>
      </c>
      <c r="BD125" s="141">
        <f t="shared" si="99"/>
        <v>77787.27</v>
      </c>
      <c r="BE125" s="317">
        <f>BE121+BE122+BE123+BE124</f>
        <v>0</v>
      </c>
      <c r="BF125" s="141">
        <f t="shared" si="100"/>
        <v>96908.93</v>
      </c>
      <c r="BG125" s="317">
        <f>BG121+BG122+BG123+BG124</f>
        <v>0</v>
      </c>
      <c r="BH125" s="315">
        <f>BH121+BH122+BH123+BH124</f>
        <v>0</v>
      </c>
      <c r="BI125" s="315">
        <f>BI121+BI122+BI123+BI124</f>
        <v>0</v>
      </c>
      <c r="BJ125" s="141">
        <f t="shared" si="101"/>
        <v>25708.01</v>
      </c>
      <c r="BK125" s="317">
        <f>BK121+BK122+BK123+BK124</f>
        <v>0</v>
      </c>
      <c r="BL125" s="141">
        <f t="shared" si="102"/>
        <v>27763.9</v>
      </c>
      <c r="BM125" s="317">
        <f>BM121+BM122+BM123+BM124</f>
        <v>0</v>
      </c>
      <c r="BN125" s="141">
        <f t="shared" si="103"/>
        <v>23851.91</v>
      </c>
      <c r="BO125" s="317">
        <f>BO121+BO122+BO123+BO124</f>
        <v>0</v>
      </c>
      <c r="BP125" s="315">
        <f>BP121+BP122+BP123+BP124</f>
        <v>0</v>
      </c>
      <c r="BQ125" s="141">
        <f t="shared" si="104"/>
        <v>29360.82</v>
      </c>
      <c r="BR125" s="317">
        <f t="shared" ref="BR125:BW125" si="126">BR121+BR122+BR123+BR124</f>
        <v>0</v>
      </c>
      <c r="BS125" s="141">
        <f t="shared" si="105"/>
        <v>36645.26</v>
      </c>
      <c r="BT125" s="317">
        <f t="shared" si="126"/>
        <v>0</v>
      </c>
      <c r="BU125" s="141">
        <f t="shared" si="106"/>
        <v>34889.949999999997</v>
      </c>
      <c r="BV125" s="317">
        <f t="shared" si="126"/>
        <v>0</v>
      </c>
      <c r="BW125" s="315">
        <f t="shared" si="126"/>
        <v>0</v>
      </c>
      <c r="BX125" s="748">
        <f>BX121+BX122+BX123+BX124</f>
        <v>783</v>
      </c>
      <c r="BY125" s="158"/>
      <c r="BZ125" s="158"/>
    </row>
    <row r="126" spans="1:78" s="106" customFormat="1" ht="17.25" thickBot="1">
      <c r="A126" s="194"/>
      <c r="B126" s="195" t="s">
        <v>497</v>
      </c>
      <c r="C126" s="195"/>
      <c r="D126" s="141">
        <v>31250.82</v>
      </c>
      <c r="E126" s="320">
        <f>E111+E116+E120+E125</f>
        <v>1160</v>
      </c>
      <c r="F126" s="141">
        <v>38535.26</v>
      </c>
      <c r="G126" s="320">
        <f>G111+G116+G120+G125</f>
        <v>1260</v>
      </c>
      <c r="H126" s="141">
        <v>36779.949999999997</v>
      </c>
      <c r="I126" s="320">
        <f>I111+I116+I120+I125</f>
        <v>205</v>
      </c>
      <c r="J126" s="749">
        <f>J111+J116+J120+J125</f>
        <v>92345268.550000012</v>
      </c>
      <c r="K126" s="141">
        <v>35546.49</v>
      </c>
      <c r="L126" s="320">
        <v>0</v>
      </c>
      <c r="M126" s="141">
        <v>43923.6</v>
      </c>
      <c r="N126" s="320">
        <v>0</v>
      </c>
      <c r="O126" s="141">
        <v>41904.99</v>
      </c>
      <c r="P126" s="320">
        <v>0</v>
      </c>
      <c r="Q126" s="320">
        <v>0</v>
      </c>
      <c r="R126" s="141">
        <v>41274.050000000003</v>
      </c>
      <c r="S126" s="320">
        <v>0</v>
      </c>
      <c r="T126" s="141">
        <v>51108.05</v>
      </c>
      <c r="U126" s="320">
        <v>0</v>
      </c>
      <c r="V126" s="141">
        <v>48738.38</v>
      </c>
      <c r="W126" s="320">
        <v>0</v>
      </c>
      <c r="X126" s="320">
        <v>0</v>
      </c>
      <c r="Y126" s="141">
        <v>45569.73</v>
      </c>
      <c r="Z126" s="320">
        <v>0</v>
      </c>
      <c r="AA126" s="141">
        <v>56496.39</v>
      </c>
      <c r="AB126" s="320">
        <v>0</v>
      </c>
      <c r="AC126" s="320">
        <v>0</v>
      </c>
      <c r="AD126" s="141">
        <v>54161.08</v>
      </c>
      <c r="AE126" s="320">
        <f>AE111+AE116+AE120+AE125</f>
        <v>14</v>
      </c>
      <c r="AF126" s="141">
        <v>67273.070000000007</v>
      </c>
      <c r="AG126" s="320">
        <f>AG111+AG116+AG120+AG125</f>
        <v>23</v>
      </c>
      <c r="AH126" s="141">
        <v>64113.51</v>
      </c>
      <c r="AI126" s="320">
        <v>0</v>
      </c>
      <c r="AJ126" s="320">
        <v>0</v>
      </c>
      <c r="AK126" s="141">
        <v>29360.82</v>
      </c>
      <c r="AL126" s="320">
        <v>0</v>
      </c>
      <c r="AM126" s="141">
        <v>36645.26</v>
      </c>
      <c r="AN126" s="320">
        <v>0</v>
      </c>
      <c r="AO126" s="141">
        <v>34889.949999999997</v>
      </c>
      <c r="AP126" s="320">
        <v>0</v>
      </c>
      <c r="AQ126" s="320">
        <v>0</v>
      </c>
      <c r="AR126" s="141">
        <v>35718.379999999997</v>
      </c>
      <c r="AS126" s="320">
        <v>0</v>
      </c>
      <c r="AT126" s="320">
        <v>0</v>
      </c>
      <c r="AU126" s="752">
        <f>AU111+AU116+AU120+AU125</f>
        <v>94650804.280000001</v>
      </c>
      <c r="AV126" s="749">
        <f>'старое не смотреть'!D188</f>
        <v>125301165.58999999</v>
      </c>
      <c r="AW126" s="141">
        <v>65258.22</v>
      </c>
      <c r="AX126" s="320">
        <v>0</v>
      </c>
      <c r="AY126" s="141">
        <v>81192.94</v>
      </c>
      <c r="AZ126" s="320">
        <v>0</v>
      </c>
      <c r="BA126" s="141">
        <v>77353.2</v>
      </c>
      <c r="BB126" s="320">
        <v>0</v>
      </c>
      <c r="BC126" s="320">
        <v>0</v>
      </c>
      <c r="BD126" s="141">
        <v>77787.27</v>
      </c>
      <c r="BE126" s="320">
        <v>0</v>
      </c>
      <c r="BF126" s="141">
        <v>96908.93</v>
      </c>
      <c r="BG126" s="320">
        <v>0</v>
      </c>
      <c r="BH126" s="320">
        <v>0</v>
      </c>
      <c r="BI126" s="320">
        <v>0</v>
      </c>
      <c r="BJ126" s="141">
        <v>25708.01</v>
      </c>
      <c r="BK126" s="320">
        <v>0</v>
      </c>
      <c r="BL126" s="141">
        <v>27763.9</v>
      </c>
      <c r="BM126" s="320">
        <v>0</v>
      </c>
      <c r="BN126" s="141">
        <v>23851.91</v>
      </c>
      <c r="BO126" s="320">
        <v>0</v>
      </c>
      <c r="BP126" s="320">
        <v>0</v>
      </c>
      <c r="BQ126" s="141">
        <v>29360.82</v>
      </c>
      <c r="BR126" s="320">
        <v>0</v>
      </c>
      <c r="BS126" s="141">
        <v>36645.26</v>
      </c>
      <c r="BT126" s="320">
        <v>0</v>
      </c>
      <c r="BU126" s="141">
        <v>34889.949999999997</v>
      </c>
      <c r="BV126" s="320">
        <v>0</v>
      </c>
      <c r="BW126" s="320">
        <v>0</v>
      </c>
      <c r="BX126" s="321">
        <f>BX111+BX116+BX120+BX125</f>
        <v>2662</v>
      </c>
      <c r="BY126" s="107"/>
      <c r="BZ126" s="107"/>
    </row>
    <row r="127" spans="1:78" ht="18.75">
      <c r="A127" s="1631" t="s">
        <v>212</v>
      </c>
      <c r="B127" s="1632"/>
      <c r="C127" s="1633"/>
      <c r="D127" s="141">
        <f t="shared" ref="D127:D190" si="127">D128</f>
        <v>31250.82</v>
      </c>
      <c r="F127" s="141">
        <f t="shared" ref="F127:F190" si="128">F128</f>
        <v>38535.26</v>
      </c>
      <c r="H127" s="141">
        <f t="shared" ref="H127:H190" si="129">H128</f>
        <v>36779.949999999997</v>
      </c>
      <c r="K127" s="141">
        <f t="shared" ref="K127:K190" si="130">K128</f>
        <v>35546.49</v>
      </c>
      <c r="M127" s="141">
        <f t="shared" ref="M127:M190" si="131">M128</f>
        <v>43923.6</v>
      </c>
      <c r="O127" s="141">
        <f t="shared" ref="O127:O190" si="132">O128</f>
        <v>41904.99</v>
      </c>
      <c r="R127" s="141">
        <f t="shared" ref="R127:R190" si="133">R128</f>
        <v>41274.050000000003</v>
      </c>
      <c r="T127" s="141">
        <f t="shared" ref="T127:T190" si="134">T128</f>
        <v>51108.05</v>
      </c>
      <c r="V127" s="141">
        <f t="shared" ref="V127:V190" si="135">V128</f>
        <v>48738.38</v>
      </c>
      <c r="Y127" s="141">
        <f t="shared" ref="Y127:Y190" si="136">Y128</f>
        <v>45569.73</v>
      </c>
      <c r="AA127" s="141">
        <f t="shared" ref="AA127:AA190" si="137">AA128</f>
        <v>56496.39</v>
      </c>
      <c r="AD127" s="141">
        <f t="shared" ref="AD127:AD190" si="138">AD128</f>
        <v>54161.08</v>
      </c>
      <c r="AF127" s="141">
        <f t="shared" ref="AF127:AF190" si="139">AF128</f>
        <v>67273.070000000007</v>
      </c>
      <c r="AH127" s="141">
        <f t="shared" ref="AH127:AH190" si="140">AH128</f>
        <v>64113.51</v>
      </c>
      <c r="AK127" s="141">
        <f t="shared" ref="AK127:AK190" si="141">AK128</f>
        <v>29360.82</v>
      </c>
      <c r="AM127" s="141">
        <f t="shared" ref="AM127:AM190" si="142">AM128</f>
        <v>36645.26</v>
      </c>
      <c r="AO127" s="141">
        <f t="shared" ref="AO127:AO190" si="143">AO128</f>
        <v>34889.949999999997</v>
      </c>
      <c r="AR127" s="141">
        <f t="shared" ref="AR127:AR190" si="144">AR128</f>
        <v>35718.379999999997</v>
      </c>
      <c r="AW127" s="141">
        <f t="shared" ref="AW127:AW190" si="145">AW128</f>
        <v>65258.22</v>
      </c>
      <c r="AY127" s="141">
        <f t="shared" ref="AY127:AY190" si="146">AY128</f>
        <v>81192.94</v>
      </c>
      <c r="BA127" s="141">
        <f t="shared" ref="BA127:BA190" si="147">BA128</f>
        <v>77353.2</v>
      </c>
      <c r="BD127" s="141">
        <f t="shared" ref="BD127:BD190" si="148">BD128</f>
        <v>77787.27</v>
      </c>
      <c r="BF127" s="141">
        <f t="shared" ref="BF127:BF190" si="149">BF128</f>
        <v>96908.93</v>
      </c>
      <c r="BJ127" s="141">
        <f t="shared" ref="BJ127:BJ190" si="150">BJ128</f>
        <v>25708.01</v>
      </c>
      <c r="BL127" s="141">
        <f t="shared" ref="BL127:BL190" si="151">BL128</f>
        <v>27763.9</v>
      </c>
      <c r="BN127" s="141">
        <f t="shared" ref="BN127:BN190" si="152">BN128</f>
        <v>23851.91</v>
      </c>
      <c r="BQ127" s="141">
        <f t="shared" ref="BQ127:BQ190" si="153">BQ128</f>
        <v>42444.76</v>
      </c>
      <c r="BS127" s="141">
        <f t="shared" ref="BS127:BS190" si="154">BS128</f>
        <v>46158.78</v>
      </c>
      <c r="BU127" s="141">
        <f t="shared" ref="BU127:BU190" si="155">BU128</f>
        <v>39091.67</v>
      </c>
      <c r="BY127" s="178"/>
      <c r="BZ127" s="178"/>
    </row>
    <row r="128" spans="1:78" ht="17.25" thickBot="1">
      <c r="A128" s="194"/>
      <c r="B128" s="195" t="s">
        <v>498</v>
      </c>
      <c r="C128" s="195"/>
      <c r="D128" s="141">
        <f t="shared" si="127"/>
        <v>31250.82</v>
      </c>
      <c r="E128" s="247">
        <v>0</v>
      </c>
      <c r="F128" s="141">
        <f t="shared" si="128"/>
        <v>38535.26</v>
      </c>
      <c r="G128" s="247">
        <v>0</v>
      </c>
      <c r="H128" s="141">
        <f t="shared" si="129"/>
        <v>36779.949999999997</v>
      </c>
      <c r="I128" s="247">
        <v>0</v>
      </c>
      <c r="J128" s="247">
        <v>0</v>
      </c>
      <c r="K128" s="141">
        <f t="shared" si="130"/>
        <v>35546.49</v>
      </c>
      <c r="L128" s="247">
        <v>0</v>
      </c>
      <c r="M128" s="141">
        <f t="shared" si="131"/>
        <v>43923.6</v>
      </c>
      <c r="N128" s="247">
        <v>0</v>
      </c>
      <c r="O128" s="141">
        <f t="shared" si="132"/>
        <v>41904.99</v>
      </c>
      <c r="P128" s="247">
        <v>0</v>
      </c>
      <c r="Q128" s="247">
        <v>0</v>
      </c>
      <c r="R128" s="141">
        <f t="shared" si="133"/>
        <v>41274.050000000003</v>
      </c>
      <c r="S128" s="247">
        <v>0</v>
      </c>
      <c r="T128" s="141">
        <f t="shared" si="134"/>
        <v>51108.05</v>
      </c>
      <c r="U128" s="247">
        <v>0</v>
      </c>
      <c r="V128" s="141">
        <f t="shared" si="135"/>
        <v>48738.38</v>
      </c>
      <c r="W128" s="247">
        <v>0</v>
      </c>
      <c r="X128" s="247">
        <v>0</v>
      </c>
      <c r="Y128" s="141">
        <f t="shared" si="136"/>
        <v>45569.73</v>
      </c>
      <c r="Z128" s="247">
        <v>0</v>
      </c>
      <c r="AA128" s="141">
        <f t="shared" si="137"/>
        <v>56496.39</v>
      </c>
      <c r="AB128" s="247">
        <v>0</v>
      </c>
      <c r="AC128" s="247">
        <v>0</v>
      </c>
      <c r="AD128" s="141">
        <f t="shared" si="138"/>
        <v>54161.08</v>
      </c>
      <c r="AE128" s="247">
        <v>0</v>
      </c>
      <c r="AF128" s="141">
        <f t="shared" si="139"/>
        <v>67273.070000000007</v>
      </c>
      <c r="AG128" s="247">
        <v>0</v>
      </c>
      <c r="AH128" s="141">
        <f t="shared" si="140"/>
        <v>64113.51</v>
      </c>
      <c r="AI128" s="247">
        <v>0</v>
      </c>
      <c r="AJ128" s="247">
        <v>0</v>
      </c>
      <c r="AK128" s="141">
        <f t="shared" si="141"/>
        <v>29360.82</v>
      </c>
      <c r="AL128" s="247">
        <v>0</v>
      </c>
      <c r="AM128" s="141">
        <f t="shared" si="142"/>
        <v>36645.26</v>
      </c>
      <c r="AN128" s="247">
        <v>0</v>
      </c>
      <c r="AO128" s="141">
        <f t="shared" si="143"/>
        <v>34889.949999999997</v>
      </c>
      <c r="AP128" s="247">
        <v>0</v>
      </c>
      <c r="AQ128" s="247">
        <v>0</v>
      </c>
      <c r="AR128" s="141">
        <f t="shared" si="144"/>
        <v>35718.379999999997</v>
      </c>
      <c r="AS128" s="247">
        <v>0</v>
      </c>
      <c r="AT128" s="247">
        <v>0</v>
      </c>
      <c r="AU128" s="382">
        <v>0</v>
      </c>
      <c r="AV128" s="247">
        <v>0</v>
      </c>
      <c r="AW128" s="141">
        <f t="shared" si="145"/>
        <v>65258.22</v>
      </c>
      <c r="AX128" s="247">
        <v>0</v>
      </c>
      <c r="AY128" s="141">
        <f t="shared" si="146"/>
        <v>81192.94</v>
      </c>
      <c r="AZ128" s="247">
        <v>0</v>
      </c>
      <c r="BA128" s="141">
        <f t="shared" si="147"/>
        <v>77353.2</v>
      </c>
      <c r="BB128" s="247">
        <v>0</v>
      </c>
      <c r="BC128" s="247">
        <v>0</v>
      </c>
      <c r="BD128" s="141">
        <f t="shared" si="148"/>
        <v>77787.27</v>
      </c>
      <c r="BE128" s="247">
        <v>0</v>
      </c>
      <c r="BF128" s="141">
        <f t="shared" si="149"/>
        <v>96908.93</v>
      </c>
      <c r="BG128" s="247">
        <v>0</v>
      </c>
      <c r="BH128" s="247">
        <v>0</v>
      </c>
      <c r="BI128" s="247">
        <v>0</v>
      </c>
      <c r="BJ128" s="141">
        <f t="shared" si="150"/>
        <v>25708.01</v>
      </c>
      <c r="BK128" s="247">
        <v>0</v>
      </c>
      <c r="BL128" s="141">
        <f t="shared" si="151"/>
        <v>27763.9</v>
      </c>
      <c r="BM128" s="247">
        <v>0</v>
      </c>
      <c r="BN128" s="141">
        <f t="shared" si="152"/>
        <v>23851.91</v>
      </c>
      <c r="BO128" s="247">
        <v>0</v>
      </c>
      <c r="BP128" s="247">
        <v>0</v>
      </c>
      <c r="BQ128" s="141">
        <f t="shared" si="153"/>
        <v>42444.76</v>
      </c>
      <c r="BR128" s="247">
        <v>0</v>
      </c>
      <c r="BS128" s="141">
        <f t="shared" si="154"/>
        <v>46158.78</v>
      </c>
      <c r="BT128" s="247">
        <v>0</v>
      </c>
      <c r="BU128" s="141">
        <f t="shared" si="155"/>
        <v>39091.67</v>
      </c>
      <c r="BV128" s="247">
        <v>0</v>
      </c>
      <c r="BW128" s="247">
        <v>0</v>
      </c>
      <c r="BX128" s="281">
        <v>0</v>
      </c>
      <c r="BY128" s="178"/>
      <c r="BZ128" s="178"/>
    </row>
    <row r="129" spans="1:78" ht="27" customHeight="1">
      <c r="A129" s="1652" t="s">
        <v>227</v>
      </c>
      <c r="B129" s="1653"/>
      <c r="C129" s="1654"/>
      <c r="D129" s="141">
        <f t="shared" si="127"/>
        <v>31250.82</v>
      </c>
      <c r="E129" s="141"/>
      <c r="F129" s="141">
        <f t="shared" si="128"/>
        <v>38535.26</v>
      </c>
      <c r="G129" s="141"/>
      <c r="H129" s="141">
        <f t="shared" si="129"/>
        <v>36779.949999999997</v>
      </c>
      <c r="I129" s="141"/>
      <c r="J129" s="141"/>
      <c r="K129" s="141">
        <f t="shared" si="130"/>
        <v>35546.49</v>
      </c>
      <c r="L129" s="141"/>
      <c r="M129" s="141">
        <f t="shared" si="131"/>
        <v>43923.6</v>
      </c>
      <c r="N129" s="141"/>
      <c r="O129" s="141">
        <f t="shared" si="132"/>
        <v>41904.99</v>
      </c>
      <c r="P129" s="141"/>
      <c r="Q129" s="141"/>
      <c r="R129" s="141">
        <f t="shared" si="133"/>
        <v>41274.050000000003</v>
      </c>
      <c r="S129" s="141"/>
      <c r="T129" s="141">
        <f t="shared" si="134"/>
        <v>51108.05</v>
      </c>
      <c r="U129" s="141"/>
      <c r="V129" s="141">
        <f t="shared" si="135"/>
        <v>48738.38</v>
      </c>
      <c r="W129" s="141"/>
      <c r="X129" s="141"/>
      <c r="Y129" s="141">
        <f t="shared" si="136"/>
        <v>45569.73</v>
      </c>
      <c r="Z129" s="141"/>
      <c r="AA129" s="141">
        <f t="shared" si="137"/>
        <v>56496.39</v>
      </c>
      <c r="AB129" s="141"/>
      <c r="AC129" s="141"/>
      <c r="AD129" s="141">
        <f t="shared" si="138"/>
        <v>54161.08</v>
      </c>
      <c r="AE129" s="141"/>
      <c r="AF129" s="141">
        <f t="shared" si="139"/>
        <v>67273.070000000007</v>
      </c>
      <c r="AG129" s="141"/>
      <c r="AH129" s="141">
        <f t="shared" si="140"/>
        <v>64113.51</v>
      </c>
      <c r="AI129" s="141"/>
      <c r="AJ129" s="141"/>
      <c r="AK129" s="141">
        <f t="shared" si="141"/>
        <v>29360.82</v>
      </c>
      <c r="AL129" s="141"/>
      <c r="AM129" s="141">
        <f t="shared" si="142"/>
        <v>36645.26</v>
      </c>
      <c r="AN129" s="141"/>
      <c r="AO129" s="141">
        <f t="shared" si="143"/>
        <v>34889.949999999997</v>
      </c>
      <c r="AP129" s="141"/>
      <c r="AQ129" s="141"/>
      <c r="AR129" s="141">
        <f t="shared" si="144"/>
        <v>35718.379999999997</v>
      </c>
      <c r="AS129" s="141"/>
      <c r="AT129" s="141"/>
      <c r="AU129" s="1068"/>
      <c r="AV129" s="851">
        <f>ROUND(AV143/AU143,3)</f>
        <v>1.583</v>
      </c>
      <c r="AW129" s="141">
        <f t="shared" si="145"/>
        <v>65258.22</v>
      </c>
      <c r="AX129" s="141"/>
      <c r="AY129" s="141">
        <f t="shared" si="146"/>
        <v>81192.94</v>
      </c>
      <c r="AZ129" s="141"/>
      <c r="BA129" s="141">
        <f t="shared" si="147"/>
        <v>77353.2</v>
      </c>
      <c r="BB129" s="141"/>
      <c r="BC129" s="141"/>
      <c r="BD129" s="141">
        <f t="shared" si="148"/>
        <v>77787.27</v>
      </c>
      <c r="BE129" s="141"/>
      <c r="BF129" s="141">
        <f t="shared" si="149"/>
        <v>96908.93</v>
      </c>
      <c r="BG129" s="141"/>
      <c r="BH129" s="141"/>
      <c r="BI129" s="141"/>
      <c r="BJ129" s="141">
        <f t="shared" si="150"/>
        <v>25708.01</v>
      </c>
      <c r="BK129" s="141"/>
      <c r="BL129" s="141">
        <f t="shared" si="151"/>
        <v>27763.9</v>
      </c>
      <c r="BM129" s="141"/>
      <c r="BN129" s="141">
        <f t="shared" si="152"/>
        <v>23851.91</v>
      </c>
      <c r="BO129" s="141"/>
      <c r="BP129" s="141"/>
      <c r="BQ129" s="141">
        <f t="shared" si="153"/>
        <v>42444.76</v>
      </c>
      <c r="BR129" s="141"/>
      <c r="BS129" s="141">
        <f t="shared" si="154"/>
        <v>46158.78</v>
      </c>
      <c r="BT129" s="141"/>
      <c r="BU129" s="141">
        <f t="shared" si="155"/>
        <v>39091.67</v>
      </c>
      <c r="BV129" s="141"/>
      <c r="BW129" s="141"/>
      <c r="BX129" s="141"/>
      <c r="BY129" s="141"/>
      <c r="BZ129" s="178"/>
    </row>
    <row r="130" spans="1:78" s="106" customFormat="1" ht="40.15" customHeight="1">
      <c r="A130" s="95" t="s">
        <v>387</v>
      </c>
      <c r="B130" s="312" t="s">
        <v>499</v>
      </c>
      <c r="C130" s="140" t="s">
        <v>410</v>
      </c>
      <c r="D130" s="141">
        <f t="shared" si="127"/>
        <v>31250.82</v>
      </c>
      <c r="E130" s="141">
        <v>282</v>
      </c>
      <c r="F130" s="141">
        <f t="shared" si="128"/>
        <v>38535.26</v>
      </c>
      <c r="G130" s="141">
        <v>338</v>
      </c>
      <c r="H130" s="141">
        <f t="shared" si="129"/>
        <v>36779.949999999997</v>
      </c>
      <c r="I130" s="141">
        <v>67</v>
      </c>
      <c r="J130" s="141">
        <f>ROUND((D130*E130+F130*G130+H130*I130),2)</f>
        <v>24301905.77</v>
      </c>
      <c r="K130" s="141">
        <f t="shared" si="130"/>
        <v>35546.49</v>
      </c>
      <c r="L130" s="141"/>
      <c r="M130" s="141">
        <f t="shared" si="131"/>
        <v>43923.6</v>
      </c>
      <c r="N130" s="141"/>
      <c r="O130" s="141">
        <f t="shared" si="132"/>
        <v>41904.99</v>
      </c>
      <c r="P130" s="141"/>
      <c r="Q130" s="141">
        <f>ROUND((K130*L130+M130*N130+O130*P130),2)</f>
        <v>0</v>
      </c>
      <c r="R130" s="141">
        <f t="shared" si="133"/>
        <v>41274.050000000003</v>
      </c>
      <c r="S130" s="141"/>
      <c r="T130" s="141">
        <f t="shared" si="134"/>
        <v>51108.05</v>
      </c>
      <c r="U130" s="141"/>
      <c r="V130" s="141">
        <f t="shared" si="135"/>
        <v>48738.38</v>
      </c>
      <c r="W130" s="141"/>
      <c r="X130" s="141">
        <f>ROUND((R130*S130+T130*U130+V130*W130),2)</f>
        <v>0</v>
      </c>
      <c r="Y130" s="141">
        <f t="shared" si="136"/>
        <v>45569.73</v>
      </c>
      <c r="Z130" s="141"/>
      <c r="AA130" s="141">
        <f t="shared" si="137"/>
        <v>56496.39</v>
      </c>
      <c r="AB130" s="141"/>
      <c r="AC130" s="141">
        <f>ROUND((Y130*Z130+AA130*AB130),2)</f>
        <v>0</v>
      </c>
      <c r="AD130" s="141">
        <f t="shared" si="138"/>
        <v>54161.08</v>
      </c>
      <c r="AE130" s="141">
        <v>4</v>
      </c>
      <c r="AF130" s="141">
        <f t="shared" si="139"/>
        <v>67273.070000000007</v>
      </c>
      <c r="AG130" s="141">
        <v>4</v>
      </c>
      <c r="AH130" s="141">
        <f t="shared" si="140"/>
        <v>64113.51</v>
      </c>
      <c r="AI130" s="141"/>
      <c r="AJ130" s="141">
        <f>ROUND((AD130*AE130+AF130*AG130+AH130*AI130),2)</f>
        <v>485736.6</v>
      </c>
      <c r="AK130" s="141">
        <f t="shared" si="141"/>
        <v>29360.82</v>
      </c>
      <c r="AL130" s="141"/>
      <c r="AM130" s="141">
        <f t="shared" si="142"/>
        <v>36645.26</v>
      </c>
      <c r="AN130" s="141"/>
      <c r="AO130" s="141">
        <f t="shared" si="143"/>
        <v>34889.949999999997</v>
      </c>
      <c r="AP130" s="141"/>
      <c r="AQ130" s="141">
        <f>ROUND((AK130*AL130+AM130*AN130+AO130*AP130),2)</f>
        <v>0</v>
      </c>
      <c r="AR130" s="141">
        <f t="shared" si="144"/>
        <v>35718.379999999997</v>
      </c>
      <c r="AS130" s="141"/>
      <c r="AT130" s="141">
        <f>ROUND((AR130*AS130),2)</f>
        <v>0</v>
      </c>
      <c r="AU130" s="1068">
        <f>AT130+AQ130+AJ130+AC130+X130+Q130+J130</f>
        <v>24787642.370000001</v>
      </c>
      <c r="AV130" s="141"/>
      <c r="AW130" s="141">
        <f t="shared" si="145"/>
        <v>65258.22</v>
      </c>
      <c r="AX130" s="141"/>
      <c r="AY130" s="141">
        <f t="shared" si="146"/>
        <v>81192.94</v>
      </c>
      <c r="AZ130" s="141"/>
      <c r="BA130" s="141">
        <f t="shared" si="147"/>
        <v>77353.2</v>
      </c>
      <c r="BB130" s="141"/>
      <c r="BC130" s="141">
        <f>ROUND((AW130*AX130+AY130*AZ130+BA130*BB130),2)</f>
        <v>0</v>
      </c>
      <c r="BD130" s="141">
        <f t="shared" si="148"/>
        <v>77787.27</v>
      </c>
      <c r="BE130" s="141"/>
      <c r="BF130" s="141">
        <f t="shared" si="149"/>
        <v>96908.93</v>
      </c>
      <c r="BG130" s="141"/>
      <c r="BH130" s="141">
        <f>ROUND((BD130*BE130+BF130*BG130),2)</f>
        <v>0</v>
      </c>
      <c r="BI130" s="141">
        <f>BH130+BC130</f>
        <v>0</v>
      </c>
      <c r="BJ130" s="141">
        <f t="shared" si="150"/>
        <v>25708.01</v>
      </c>
      <c r="BK130" s="141"/>
      <c r="BL130" s="141">
        <f t="shared" si="151"/>
        <v>27763.9</v>
      </c>
      <c r="BM130" s="141"/>
      <c r="BN130" s="141">
        <f t="shared" si="152"/>
        <v>23851.91</v>
      </c>
      <c r="BO130" s="141"/>
      <c r="BP130" s="141">
        <f>ROUND((BJ130*BK130+BL130*BM130+BN130*BO130),2)</f>
        <v>0</v>
      </c>
      <c r="BQ130" s="141">
        <f t="shared" si="153"/>
        <v>42444.76</v>
      </c>
      <c r="BR130" s="141"/>
      <c r="BS130" s="141">
        <f t="shared" si="154"/>
        <v>46158.78</v>
      </c>
      <c r="BT130" s="141"/>
      <c r="BU130" s="141">
        <f t="shared" si="155"/>
        <v>39091.67</v>
      </c>
      <c r="BV130" s="141"/>
      <c r="BW130" s="141">
        <f>ROUND((BQ130*BR130+BS130*BT130+BU130*BV130),2)</f>
        <v>0</v>
      </c>
      <c r="BX130" s="141">
        <f>BV130+BT130+BR130+BO130+BM130+BK130+BG130+BE130+BB130+AZ130+AX130+AS130+AP130+AN130+AL130+AI130+AG130+AE130+AB130+Z130+W130+U130+S130+P130+N130+L130+I130+G130+E130</f>
        <v>695</v>
      </c>
      <c r="BY130" s="141">
        <v>695</v>
      </c>
      <c r="BZ130" s="107"/>
    </row>
    <row r="131" spans="1:78" s="116" customFormat="1" ht="23.25" hidden="1" customHeight="1">
      <c r="A131" s="108" t="s">
        <v>389</v>
      </c>
      <c r="B131" s="286" t="s">
        <v>500</v>
      </c>
      <c r="C131" s="140" t="s">
        <v>410</v>
      </c>
      <c r="D131" s="141">
        <f t="shared" si="127"/>
        <v>31250.82</v>
      </c>
      <c r="E131" s="141"/>
      <c r="F131" s="141">
        <f t="shared" si="128"/>
        <v>38535.26</v>
      </c>
      <c r="G131" s="141">
        <v>0</v>
      </c>
      <c r="H131" s="141">
        <f t="shared" si="129"/>
        <v>36779.949999999997</v>
      </c>
      <c r="I131" s="141"/>
      <c r="J131" s="141">
        <f>ROUND((D131*E131+F131*G131+H131*I131),2)</f>
        <v>0</v>
      </c>
      <c r="K131" s="141">
        <f t="shared" si="130"/>
        <v>35546.49</v>
      </c>
      <c r="L131" s="141"/>
      <c r="M131" s="141">
        <f t="shared" si="131"/>
        <v>43923.6</v>
      </c>
      <c r="N131" s="141"/>
      <c r="O131" s="141">
        <f t="shared" si="132"/>
        <v>41904.99</v>
      </c>
      <c r="P131" s="141"/>
      <c r="Q131" s="141">
        <f>ROUND((K131*L131+M131*N131+O131*P131),2)</f>
        <v>0</v>
      </c>
      <c r="R131" s="141">
        <f t="shared" si="133"/>
        <v>41274.050000000003</v>
      </c>
      <c r="S131" s="141"/>
      <c r="T131" s="141">
        <f t="shared" si="134"/>
        <v>51108.05</v>
      </c>
      <c r="U131" s="141"/>
      <c r="V131" s="141">
        <f t="shared" si="135"/>
        <v>48738.38</v>
      </c>
      <c r="W131" s="141"/>
      <c r="X131" s="141">
        <f>ROUND((R131*S131+T131*U131+V131*W131),2)</f>
        <v>0</v>
      </c>
      <c r="Y131" s="141">
        <f t="shared" si="136"/>
        <v>45569.73</v>
      </c>
      <c r="Z131" s="141"/>
      <c r="AA131" s="141">
        <f t="shared" si="137"/>
        <v>56496.39</v>
      </c>
      <c r="AB131" s="141"/>
      <c r="AC131" s="141">
        <f>ROUND((Y131*Z131+AA131*AB131),2)</f>
        <v>0</v>
      </c>
      <c r="AD131" s="141">
        <f t="shared" si="138"/>
        <v>54161.08</v>
      </c>
      <c r="AE131" s="141">
        <v>0</v>
      </c>
      <c r="AF131" s="141">
        <f t="shared" si="139"/>
        <v>67273.070000000007</v>
      </c>
      <c r="AG131" s="141">
        <v>0</v>
      </c>
      <c r="AH131" s="141">
        <f t="shared" si="140"/>
        <v>64113.51</v>
      </c>
      <c r="AI131" s="141"/>
      <c r="AJ131" s="141">
        <f>ROUND((AD131*AE131+AF131*AG131+AH131*AI131),2)</f>
        <v>0</v>
      </c>
      <c r="AK131" s="141">
        <f t="shared" si="141"/>
        <v>29360.82</v>
      </c>
      <c r="AL131" s="141"/>
      <c r="AM131" s="141">
        <f t="shared" si="142"/>
        <v>36645.26</v>
      </c>
      <c r="AN131" s="141"/>
      <c r="AO131" s="141">
        <f t="shared" si="143"/>
        <v>34889.949999999997</v>
      </c>
      <c r="AP131" s="141"/>
      <c r="AQ131" s="141">
        <f>ROUND((AK131*AL131+AM131*AN131+AO131*AP131),2)</f>
        <v>0</v>
      </c>
      <c r="AR131" s="141">
        <f t="shared" si="144"/>
        <v>35718.379999999997</v>
      </c>
      <c r="AS131" s="141"/>
      <c r="AT131" s="141">
        <f>ROUND((AR131*AS131),2)</f>
        <v>0</v>
      </c>
      <c r="AU131" s="1068">
        <f>AT131+AQ131+AJ131+AC131+X131+Q131+J131</f>
        <v>0</v>
      </c>
      <c r="AV131" s="141"/>
      <c r="AW131" s="141">
        <f t="shared" si="145"/>
        <v>65258.22</v>
      </c>
      <c r="AX131" s="141"/>
      <c r="AY131" s="141">
        <f t="shared" si="146"/>
        <v>81192.94</v>
      </c>
      <c r="AZ131" s="141"/>
      <c r="BA131" s="141">
        <f t="shared" si="147"/>
        <v>77353.2</v>
      </c>
      <c r="BB131" s="141"/>
      <c r="BC131" s="141">
        <f>ROUND((AW131*AX131+AY131*AZ131+BA131*BB131),2)</f>
        <v>0</v>
      </c>
      <c r="BD131" s="141">
        <f t="shared" si="148"/>
        <v>77787.27</v>
      </c>
      <c r="BE131" s="141"/>
      <c r="BF131" s="141">
        <f t="shared" si="149"/>
        <v>96908.93</v>
      </c>
      <c r="BG131" s="141"/>
      <c r="BH131" s="141">
        <f>ROUND((BD131*BE131+BF131*BG131),2)</f>
        <v>0</v>
      </c>
      <c r="BI131" s="141">
        <f>BH131+BC131</f>
        <v>0</v>
      </c>
      <c r="BJ131" s="141">
        <f t="shared" si="150"/>
        <v>25708.01</v>
      </c>
      <c r="BK131" s="141"/>
      <c r="BL131" s="141">
        <f t="shared" si="151"/>
        <v>27763.9</v>
      </c>
      <c r="BM131" s="141"/>
      <c r="BN131" s="141">
        <f t="shared" si="152"/>
        <v>23851.91</v>
      </c>
      <c r="BO131" s="141"/>
      <c r="BP131" s="141">
        <f>ROUND((BJ131*BK131+BL131*BM131+BN131*BO131),2)</f>
        <v>0</v>
      </c>
      <c r="BQ131" s="141">
        <f t="shared" si="153"/>
        <v>42444.76</v>
      </c>
      <c r="BR131" s="141"/>
      <c r="BS131" s="141">
        <f t="shared" si="154"/>
        <v>46158.78</v>
      </c>
      <c r="BT131" s="141"/>
      <c r="BU131" s="141">
        <f t="shared" si="155"/>
        <v>39091.67</v>
      </c>
      <c r="BV131" s="141"/>
      <c r="BW131" s="141">
        <f>ROUND((BQ131*BR131+BS131*BT131+BU131*BV131),2)</f>
        <v>0</v>
      </c>
      <c r="BX131" s="141">
        <f>BV131+BT131+BR131+BO131+BM131+BK131+BG131+BE131+BB131+AZ131+AX131+AS131+AP131+AN131+AL131+AI131+AG131+AE131+AB131+Z131+W131+U131+S131+P131+N131+L131+I131+G131+E131</f>
        <v>0</v>
      </c>
      <c r="BY131" s="141"/>
      <c r="BZ131" s="117"/>
    </row>
    <row r="132" spans="1:78" s="116" customFormat="1" ht="23.25" hidden="1" customHeight="1">
      <c r="A132" s="118"/>
      <c r="B132" s="286"/>
      <c r="C132" s="140" t="s">
        <v>410</v>
      </c>
      <c r="D132" s="141">
        <f t="shared" si="127"/>
        <v>31250.82</v>
      </c>
      <c r="E132" s="141"/>
      <c r="F132" s="141">
        <f t="shared" si="128"/>
        <v>38535.26</v>
      </c>
      <c r="G132" s="141"/>
      <c r="H132" s="141">
        <f t="shared" si="129"/>
        <v>36779.949999999997</v>
      </c>
      <c r="I132" s="141"/>
      <c r="J132" s="141"/>
      <c r="K132" s="141">
        <f t="shared" si="130"/>
        <v>35546.49</v>
      </c>
      <c r="L132" s="141"/>
      <c r="M132" s="141">
        <f t="shared" si="131"/>
        <v>43923.6</v>
      </c>
      <c r="N132" s="141"/>
      <c r="O132" s="141">
        <f t="shared" si="132"/>
        <v>41904.99</v>
      </c>
      <c r="P132" s="141"/>
      <c r="Q132" s="141"/>
      <c r="R132" s="141">
        <f t="shared" si="133"/>
        <v>41274.050000000003</v>
      </c>
      <c r="S132" s="141"/>
      <c r="T132" s="141">
        <f t="shared" si="134"/>
        <v>51108.05</v>
      </c>
      <c r="U132" s="141"/>
      <c r="V132" s="141">
        <f t="shared" si="135"/>
        <v>48738.38</v>
      </c>
      <c r="W132" s="141"/>
      <c r="X132" s="141"/>
      <c r="Y132" s="141">
        <f t="shared" si="136"/>
        <v>45569.73</v>
      </c>
      <c r="Z132" s="141"/>
      <c r="AA132" s="141">
        <f t="shared" si="137"/>
        <v>56496.39</v>
      </c>
      <c r="AB132" s="141"/>
      <c r="AC132" s="141"/>
      <c r="AD132" s="141">
        <f t="shared" si="138"/>
        <v>54161.08</v>
      </c>
      <c r="AE132" s="141"/>
      <c r="AF132" s="141">
        <f t="shared" si="139"/>
        <v>67273.070000000007</v>
      </c>
      <c r="AG132" s="141"/>
      <c r="AH132" s="141">
        <f t="shared" si="140"/>
        <v>64113.51</v>
      </c>
      <c r="AI132" s="141"/>
      <c r="AJ132" s="141"/>
      <c r="AK132" s="141">
        <f t="shared" si="141"/>
        <v>29360.82</v>
      </c>
      <c r="AL132" s="141"/>
      <c r="AM132" s="141">
        <f t="shared" si="142"/>
        <v>36645.26</v>
      </c>
      <c r="AN132" s="141"/>
      <c r="AO132" s="141">
        <f t="shared" si="143"/>
        <v>34889.949999999997</v>
      </c>
      <c r="AP132" s="141"/>
      <c r="AQ132" s="141"/>
      <c r="AR132" s="141">
        <f t="shared" si="144"/>
        <v>35718.379999999997</v>
      </c>
      <c r="AS132" s="141"/>
      <c r="AT132" s="141"/>
      <c r="AU132" s="1068"/>
      <c r="AV132" s="141"/>
      <c r="AW132" s="141">
        <f t="shared" si="145"/>
        <v>65258.22</v>
      </c>
      <c r="AX132" s="141"/>
      <c r="AY132" s="141">
        <f t="shared" si="146"/>
        <v>81192.94</v>
      </c>
      <c r="AZ132" s="141"/>
      <c r="BA132" s="141">
        <f t="shared" si="147"/>
        <v>77353.2</v>
      </c>
      <c r="BB132" s="141"/>
      <c r="BC132" s="141"/>
      <c r="BD132" s="141">
        <f t="shared" si="148"/>
        <v>77787.27</v>
      </c>
      <c r="BE132" s="141"/>
      <c r="BF132" s="141">
        <f t="shared" si="149"/>
        <v>96908.93</v>
      </c>
      <c r="BG132" s="141"/>
      <c r="BH132" s="141"/>
      <c r="BI132" s="141"/>
      <c r="BJ132" s="141">
        <f t="shared" si="150"/>
        <v>25708.01</v>
      </c>
      <c r="BK132" s="141"/>
      <c r="BL132" s="141">
        <f t="shared" si="151"/>
        <v>27763.9</v>
      </c>
      <c r="BM132" s="141"/>
      <c r="BN132" s="141">
        <f t="shared" si="152"/>
        <v>23851.91</v>
      </c>
      <c r="BO132" s="141"/>
      <c r="BP132" s="141"/>
      <c r="BQ132" s="141">
        <f t="shared" si="153"/>
        <v>42444.76</v>
      </c>
      <c r="BR132" s="141"/>
      <c r="BS132" s="141">
        <f t="shared" si="154"/>
        <v>46158.78</v>
      </c>
      <c r="BT132" s="141"/>
      <c r="BU132" s="141">
        <f t="shared" si="155"/>
        <v>39091.67</v>
      </c>
      <c r="BV132" s="141"/>
      <c r="BW132" s="141"/>
      <c r="BX132" s="141">
        <f t="shared" ref="BX132:BX139" si="156">BV132+BT132+BR132+BO132+BM132+BK132+BG132+BE132+BB132+AZ132+AX132+AS132+AP132+AN132+AL132+AI132+AG132+AE132+AB132+Z132+W132+U132+S132+P132+N132+L132+I132+G132+E132</f>
        <v>0</v>
      </c>
      <c r="BY132" s="141"/>
      <c r="BZ132" s="117"/>
    </row>
    <row r="133" spans="1:78" s="116" customFormat="1" ht="22.5" hidden="1" customHeight="1">
      <c r="A133" s="118"/>
      <c r="B133" s="286"/>
      <c r="C133" s="140" t="s">
        <v>410</v>
      </c>
      <c r="D133" s="141">
        <f t="shared" si="127"/>
        <v>31250.82</v>
      </c>
      <c r="E133" s="141"/>
      <c r="F133" s="141">
        <f t="shared" si="128"/>
        <v>38535.26</v>
      </c>
      <c r="G133" s="141"/>
      <c r="H133" s="141">
        <f t="shared" si="129"/>
        <v>36779.949999999997</v>
      </c>
      <c r="I133" s="141"/>
      <c r="J133" s="141">
        <f t="shared" ref="J133:BT133" si="157">J132+J131</f>
        <v>0</v>
      </c>
      <c r="K133" s="141">
        <f t="shared" si="130"/>
        <v>35546.49</v>
      </c>
      <c r="L133" s="141">
        <f t="shared" si="157"/>
        <v>0</v>
      </c>
      <c r="M133" s="141">
        <f t="shared" si="131"/>
        <v>43923.6</v>
      </c>
      <c r="N133" s="141">
        <f t="shared" si="157"/>
        <v>0</v>
      </c>
      <c r="O133" s="141">
        <f t="shared" si="132"/>
        <v>41904.99</v>
      </c>
      <c r="P133" s="141">
        <f t="shared" si="157"/>
        <v>0</v>
      </c>
      <c r="Q133" s="141">
        <f>Q132+Q131</f>
        <v>0</v>
      </c>
      <c r="R133" s="141">
        <f t="shared" si="133"/>
        <v>41274.050000000003</v>
      </c>
      <c r="S133" s="141">
        <f t="shared" si="157"/>
        <v>0</v>
      </c>
      <c r="T133" s="141">
        <f t="shared" si="134"/>
        <v>51108.05</v>
      </c>
      <c r="U133" s="141">
        <f t="shared" si="157"/>
        <v>0</v>
      </c>
      <c r="V133" s="141">
        <f t="shared" si="135"/>
        <v>48738.38</v>
      </c>
      <c r="W133" s="141">
        <f t="shared" si="157"/>
        <v>0</v>
      </c>
      <c r="X133" s="141">
        <f>X132+X131</f>
        <v>0</v>
      </c>
      <c r="Y133" s="141">
        <f t="shared" si="136"/>
        <v>45569.73</v>
      </c>
      <c r="Z133" s="141">
        <f t="shared" si="157"/>
        <v>0</v>
      </c>
      <c r="AA133" s="141">
        <f t="shared" si="137"/>
        <v>56496.39</v>
      </c>
      <c r="AB133" s="141">
        <f t="shared" si="157"/>
        <v>0</v>
      </c>
      <c r="AC133" s="141">
        <f t="shared" si="157"/>
        <v>0</v>
      </c>
      <c r="AD133" s="141">
        <f t="shared" si="138"/>
        <v>54161.08</v>
      </c>
      <c r="AE133" s="141">
        <f t="shared" si="157"/>
        <v>0</v>
      </c>
      <c r="AF133" s="141">
        <f t="shared" si="139"/>
        <v>67273.070000000007</v>
      </c>
      <c r="AG133" s="141">
        <f t="shared" si="157"/>
        <v>0</v>
      </c>
      <c r="AH133" s="141">
        <f t="shared" si="140"/>
        <v>64113.51</v>
      </c>
      <c r="AI133" s="141">
        <f t="shared" si="157"/>
        <v>0</v>
      </c>
      <c r="AJ133" s="141">
        <f>AJ132+AJ131</f>
        <v>0</v>
      </c>
      <c r="AK133" s="141">
        <f t="shared" si="141"/>
        <v>29360.82</v>
      </c>
      <c r="AL133" s="141">
        <f t="shared" si="157"/>
        <v>0</v>
      </c>
      <c r="AM133" s="141">
        <f t="shared" si="142"/>
        <v>36645.26</v>
      </c>
      <c r="AN133" s="141">
        <f t="shared" si="157"/>
        <v>0</v>
      </c>
      <c r="AO133" s="141">
        <f t="shared" si="143"/>
        <v>34889.949999999997</v>
      </c>
      <c r="AP133" s="141">
        <f t="shared" si="157"/>
        <v>0</v>
      </c>
      <c r="AQ133" s="141">
        <f>AQ132+AQ131</f>
        <v>0</v>
      </c>
      <c r="AR133" s="141">
        <f t="shared" si="144"/>
        <v>35718.379999999997</v>
      </c>
      <c r="AS133" s="141">
        <f t="shared" si="157"/>
        <v>0</v>
      </c>
      <c r="AT133" s="141">
        <f t="shared" si="157"/>
        <v>0</v>
      </c>
      <c r="AU133" s="1068">
        <f t="shared" si="157"/>
        <v>0</v>
      </c>
      <c r="AV133" s="141">
        <f t="shared" si="157"/>
        <v>0</v>
      </c>
      <c r="AW133" s="141">
        <f t="shared" si="145"/>
        <v>65258.22</v>
      </c>
      <c r="AX133" s="141">
        <f t="shared" si="157"/>
        <v>0</v>
      </c>
      <c r="AY133" s="141">
        <f t="shared" si="146"/>
        <v>81192.94</v>
      </c>
      <c r="AZ133" s="141">
        <f t="shared" si="157"/>
        <v>0</v>
      </c>
      <c r="BA133" s="141">
        <f t="shared" si="147"/>
        <v>77353.2</v>
      </c>
      <c r="BB133" s="141">
        <f t="shared" si="157"/>
        <v>0</v>
      </c>
      <c r="BC133" s="141">
        <f>BC132+BC131</f>
        <v>0</v>
      </c>
      <c r="BD133" s="141">
        <f t="shared" si="148"/>
        <v>77787.27</v>
      </c>
      <c r="BE133" s="141">
        <f t="shared" si="157"/>
        <v>0</v>
      </c>
      <c r="BF133" s="141">
        <f t="shared" si="149"/>
        <v>96908.93</v>
      </c>
      <c r="BG133" s="141">
        <f t="shared" si="157"/>
        <v>0</v>
      </c>
      <c r="BH133" s="141">
        <f t="shared" si="157"/>
        <v>0</v>
      </c>
      <c r="BI133" s="141">
        <f t="shared" si="157"/>
        <v>0</v>
      </c>
      <c r="BJ133" s="141">
        <f t="shared" si="150"/>
        <v>25708.01</v>
      </c>
      <c r="BK133" s="141">
        <f t="shared" si="157"/>
        <v>0</v>
      </c>
      <c r="BL133" s="141">
        <f t="shared" si="151"/>
        <v>27763.9</v>
      </c>
      <c r="BM133" s="141">
        <f t="shared" si="157"/>
        <v>0</v>
      </c>
      <c r="BN133" s="141">
        <f t="shared" si="152"/>
        <v>23851.91</v>
      </c>
      <c r="BO133" s="141">
        <f t="shared" si="157"/>
        <v>0</v>
      </c>
      <c r="BP133" s="141">
        <f>BP132+BP131</f>
        <v>0</v>
      </c>
      <c r="BQ133" s="141">
        <f t="shared" si="153"/>
        <v>42444.76</v>
      </c>
      <c r="BR133" s="141">
        <f t="shared" si="157"/>
        <v>0</v>
      </c>
      <c r="BS133" s="141">
        <f t="shared" si="154"/>
        <v>46158.78</v>
      </c>
      <c r="BT133" s="141">
        <f t="shared" si="157"/>
        <v>0</v>
      </c>
      <c r="BU133" s="141">
        <f t="shared" si="155"/>
        <v>39091.67</v>
      </c>
      <c r="BV133" s="141">
        <f>BV132+BV131</f>
        <v>0</v>
      </c>
      <c r="BW133" s="141">
        <f>BW132+BW131</f>
        <v>0</v>
      </c>
      <c r="BX133" s="141">
        <f>BX132+BX131</f>
        <v>0</v>
      </c>
      <c r="BY133" s="141"/>
      <c r="BZ133" s="117"/>
    </row>
    <row r="134" spans="1:78" s="116" customFormat="1" ht="23.25" hidden="1" customHeight="1">
      <c r="A134" s="108" t="s">
        <v>393</v>
      </c>
      <c r="B134" s="312"/>
      <c r="C134" s="140" t="s">
        <v>410</v>
      </c>
      <c r="D134" s="141">
        <f t="shared" si="127"/>
        <v>31250.82</v>
      </c>
      <c r="E134" s="141"/>
      <c r="F134" s="141">
        <f t="shared" si="128"/>
        <v>38535.26</v>
      </c>
      <c r="G134" s="141"/>
      <c r="H134" s="141">
        <f t="shared" si="129"/>
        <v>36779.949999999997</v>
      </c>
      <c r="I134" s="141"/>
      <c r="J134" s="141"/>
      <c r="K134" s="141">
        <f t="shared" si="130"/>
        <v>35546.49</v>
      </c>
      <c r="L134" s="141"/>
      <c r="M134" s="141">
        <f t="shared" si="131"/>
        <v>43923.6</v>
      </c>
      <c r="N134" s="141"/>
      <c r="O134" s="141">
        <f t="shared" si="132"/>
        <v>41904.99</v>
      </c>
      <c r="P134" s="141"/>
      <c r="Q134" s="141"/>
      <c r="R134" s="141">
        <f t="shared" si="133"/>
        <v>41274.050000000003</v>
      </c>
      <c r="S134" s="141"/>
      <c r="T134" s="141">
        <f t="shared" si="134"/>
        <v>51108.05</v>
      </c>
      <c r="U134" s="141"/>
      <c r="V134" s="141">
        <f t="shared" si="135"/>
        <v>48738.38</v>
      </c>
      <c r="W134" s="141"/>
      <c r="X134" s="141"/>
      <c r="Y134" s="141">
        <f t="shared" si="136"/>
        <v>45569.73</v>
      </c>
      <c r="Z134" s="141"/>
      <c r="AA134" s="141">
        <f t="shared" si="137"/>
        <v>56496.39</v>
      </c>
      <c r="AB134" s="141"/>
      <c r="AC134" s="141"/>
      <c r="AD134" s="141">
        <f t="shared" si="138"/>
        <v>54161.08</v>
      </c>
      <c r="AE134" s="141"/>
      <c r="AF134" s="141">
        <f t="shared" si="139"/>
        <v>67273.070000000007</v>
      </c>
      <c r="AG134" s="141"/>
      <c r="AH134" s="141">
        <f t="shared" si="140"/>
        <v>64113.51</v>
      </c>
      <c r="AI134" s="141"/>
      <c r="AJ134" s="141"/>
      <c r="AK134" s="141">
        <f t="shared" si="141"/>
        <v>29360.82</v>
      </c>
      <c r="AL134" s="141"/>
      <c r="AM134" s="141">
        <f t="shared" si="142"/>
        <v>36645.26</v>
      </c>
      <c r="AN134" s="141"/>
      <c r="AO134" s="141">
        <f t="shared" si="143"/>
        <v>34889.949999999997</v>
      </c>
      <c r="AP134" s="141"/>
      <c r="AQ134" s="141"/>
      <c r="AR134" s="141">
        <f t="shared" si="144"/>
        <v>35718.379999999997</v>
      </c>
      <c r="AS134" s="141"/>
      <c r="AT134" s="141"/>
      <c r="AU134" s="1068"/>
      <c r="AV134" s="141"/>
      <c r="AW134" s="141">
        <f t="shared" si="145"/>
        <v>65258.22</v>
      </c>
      <c r="AX134" s="141"/>
      <c r="AY134" s="141">
        <f t="shared" si="146"/>
        <v>81192.94</v>
      </c>
      <c r="AZ134" s="141"/>
      <c r="BA134" s="141">
        <f t="shared" si="147"/>
        <v>77353.2</v>
      </c>
      <c r="BB134" s="141"/>
      <c r="BC134" s="141"/>
      <c r="BD134" s="141">
        <f t="shared" si="148"/>
        <v>77787.27</v>
      </c>
      <c r="BE134" s="141"/>
      <c r="BF134" s="141">
        <f t="shared" si="149"/>
        <v>96908.93</v>
      </c>
      <c r="BG134" s="141"/>
      <c r="BH134" s="141"/>
      <c r="BI134" s="141"/>
      <c r="BJ134" s="141">
        <f t="shared" si="150"/>
        <v>25708.01</v>
      </c>
      <c r="BK134" s="141"/>
      <c r="BL134" s="141">
        <f t="shared" si="151"/>
        <v>27763.9</v>
      </c>
      <c r="BM134" s="141"/>
      <c r="BN134" s="141">
        <f t="shared" si="152"/>
        <v>23851.91</v>
      </c>
      <c r="BO134" s="141"/>
      <c r="BP134" s="141"/>
      <c r="BQ134" s="141">
        <f t="shared" si="153"/>
        <v>42444.76</v>
      </c>
      <c r="BR134" s="141"/>
      <c r="BS134" s="141">
        <f t="shared" si="154"/>
        <v>46158.78</v>
      </c>
      <c r="BT134" s="141"/>
      <c r="BU134" s="141">
        <f t="shared" si="155"/>
        <v>39091.67</v>
      </c>
      <c r="BV134" s="141"/>
      <c r="BW134" s="141"/>
      <c r="BX134" s="141">
        <f t="shared" si="156"/>
        <v>0</v>
      </c>
      <c r="BY134" s="141"/>
      <c r="BZ134" s="117"/>
    </row>
    <row r="135" spans="1:78" s="116" customFormat="1" ht="23.25" hidden="1" customHeight="1">
      <c r="A135" s="95"/>
      <c r="B135" s="286"/>
      <c r="C135" s="140" t="s">
        <v>410</v>
      </c>
      <c r="D135" s="141">
        <f t="shared" si="127"/>
        <v>31250.82</v>
      </c>
      <c r="E135" s="141"/>
      <c r="F135" s="141">
        <f t="shared" si="128"/>
        <v>38535.26</v>
      </c>
      <c r="G135" s="141"/>
      <c r="H135" s="141">
        <f t="shared" si="129"/>
        <v>36779.949999999997</v>
      </c>
      <c r="I135" s="141"/>
      <c r="J135" s="141"/>
      <c r="K135" s="141">
        <f t="shared" si="130"/>
        <v>35546.49</v>
      </c>
      <c r="L135" s="141"/>
      <c r="M135" s="141">
        <f t="shared" si="131"/>
        <v>43923.6</v>
      </c>
      <c r="N135" s="141"/>
      <c r="O135" s="141">
        <f t="shared" si="132"/>
        <v>41904.99</v>
      </c>
      <c r="P135" s="141"/>
      <c r="Q135" s="141"/>
      <c r="R135" s="141">
        <f t="shared" si="133"/>
        <v>41274.050000000003</v>
      </c>
      <c r="S135" s="141"/>
      <c r="T135" s="141">
        <f t="shared" si="134"/>
        <v>51108.05</v>
      </c>
      <c r="U135" s="141"/>
      <c r="V135" s="141">
        <f t="shared" si="135"/>
        <v>48738.38</v>
      </c>
      <c r="W135" s="141"/>
      <c r="X135" s="141"/>
      <c r="Y135" s="141">
        <f t="shared" si="136"/>
        <v>45569.73</v>
      </c>
      <c r="Z135" s="141"/>
      <c r="AA135" s="141">
        <f t="shared" si="137"/>
        <v>56496.39</v>
      </c>
      <c r="AB135" s="141"/>
      <c r="AC135" s="141"/>
      <c r="AD135" s="141">
        <f t="shared" si="138"/>
        <v>54161.08</v>
      </c>
      <c r="AE135" s="141"/>
      <c r="AF135" s="141">
        <f t="shared" si="139"/>
        <v>67273.070000000007</v>
      </c>
      <c r="AG135" s="141"/>
      <c r="AH135" s="141">
        <f t="shared" si="140"/>
        <v>64113.51</v>
      </c>
      <c r="AI135" s="141"/>
      <c r="AJ135" s="141"/>
      <c r="AK135" s="141">
        <f t="shared" si="141"/>
        <v>29360.82</v>
      </c>
      <c r="AL135" s="141"/>
      <c r="AM135" s="141">
        <f t="shared" si="142"/>
        <v>36645.26</v>
      </c>
      <c r="AN135" s="141"/>
      <c r="AO135" s="141">
        <f t="shared" si="143"/>
        <v>34889.949999999997</v>
      </c>
      <c r="AP135" s="141"/>
      <c r="AQ135" s="141"/>
      <c r="AR135" s="141">
        <f t="shared" si="144"/>
        <v>35718.379999999997</v>
      </c>
      <c r="AS135" s="141"/>
      <c r="AT135" s="141"/>
      <c r="AU135" s="1068"/>
      <c r="AV135" s="141"/>
      <c r="AW135" s="141">
        <f t="shared" si="145"/>
        <v>65258.22</v>
      </c>
      <c r="AX135" s="141"/>
      <c r="AY135" s="141">
        <f t="shared" si="146"/>
        <v>81192.94</v>
      </c>
      <c r="AZ135" s="141"/>
      <c r="BA135" s="141">
        <f t="shared" si="147"/>
        <v>77353.2</v>
      </c>
      <c r="BB135" s="141"/>
      <c r="BC135" s="141"/>
      <c r="BD135" s="141">
        <f t="shared" si="148"/>
        <v>77787.27</v>
      </c>
      <c r="BE135" s="141"/>
      <c r="BF135" s="141">
        <f t="shared" si="149"/>
        <v>96908.93</v>
      </c>
      <c r="BG135" s="141"/>
      <c r="BH135" s="141"/>
      <c r="BI135" s="141"/>
      <c r="BJ135" s="141">
        <f t="shared" si="150"/>
        <v>25708.01</v>
      </c>
      <c r="BK135" s="141"/>
      <c r="BL135" s="141">
        <f t="shared" si="151"/>
        <v>27763.9</v>
      </c>
      <c r="BM135" s="141"/>
      <c r="BN135" s="141">
        <f t="shared" si="152"/>
        <v>23851.91</v>
      </c>
      <c r="BO135" s="141"/>
      <c r="BP135" s="141"/>
      <c r="BQ135" s="141">
        <f t="shared" si="153"/>
        <v>42444.76</v>
      </c>
      <c r="BR135" s="141"/>
      <c r="BS135" s="141">
        <f t="shared" si="154"/>
        <v>46158.78</v>
      </c>
      <c r="BT135" s="141"/>
      <c r="BU135" s="141">
        <f t="shared" si="155"/>
        <v>39091.67</v>
      </c>
      <c r="BV135" s="141"/>
      <c r="BW135" s="141"/>
      <c r="BX135" s="141">
        <f t="shared" si="156"/>
        <v>0</v>
      </c>
      <c r="BY135" s="141"/>
      <c r="BZ135" s="117"/>
    </row>
    <row r="136" spans="1:78" s="116" customFormat="1" ht="23.25" hidden="1" customHeight="1">
      <c r="A136" s="122"/>
      <c r="B136" s="286"/>
      <c r="C136" s="140" t="s">
        <v>410</v>
      </c>
      <c r="D136" s="141">
        <f t="shared" si="127"/>
        <v>31250.82</v>
      </c>
      <c r="E136" s="141"/>
      <c r="F136" s="141">
        <f t="shared" si="128"/>
        <v>38535.26</v>
      </c>
      <c r="G136" s="141"/>
      <c r="H136" s="141">
        <f t="shared" si="129"/>
        <v>36779.949999999997</v>
      </c>
      <c r="I136" s="141"/>
      <c r="J136" s="141"/>
      <c r="K136" s="141">
        <f t="shared" si="130"/>
        <v>35546.49</v>
      </c>
      <c r="L136" s="141"/>
      <c r="M136" s="141">
        <f t="shared" si="131"/>
        <v>43923.6</v>
      </c>
      <c r="N136" s="141"/>
      <c r="O136" s="141">
        <f t="shared" si="132"/>
        <v>41904.99</v>
      </c>
      <c r="P136" s="141"/>
      <c r="Q136" s="141"/>
      <c r="R136" s="141">
        <f t="shared" si="133"/>
        <v>41274.050000000003</v>
      </c>
      <c r="S136" s="141"/>
      <c r="T136" s="141">
        <f t="shared" si="134"/>
        <v>51108.05</v>
      </c>
      <c r="U136" s="141"/>
      <c r="V136" s="141">
        <f t="shared" si="135"/>
        <v>48738.38</v>
      </c>
      <c r="W136" s="141"/>
      <c r="X136" s="141"/>
      <c r="Y136" s="141">
        <f t="shared" si="136"/>
        <v>45569.73</v>
      </c>
      <c r="Z136" s="141"/>
      <c r="AA136" s="141">
        <f t="shared" si="137"/>
        <v>56496.39</v>
      </c>
      <c r="AB136" s="141"/>
      <c r="AC136" s="141"/>
      <c r="AD136" s="141">
        <f t="shared" si="138"/>
        <v>54161.08</v>
      </c>
      <c r="AE136" s="141"/>
      <c r="AF136" s="141">
        <f t="shared" si="139"/>
        <v>67273.070000000007</v>
      </c>
      <c r="AG136" s="141"/>
      <c r="AH136" s="141">
        <f t="shared" si="140"/>
        <v>64113.51</v>
      </c>
      <c r="AI136" s="141"/>
      <c r="AJ136" s="141"/>
      <c r="AK136" s="141">
        <f t="shared" si="141"/>
        <v>29360.82</v>
      </c>
      <c r="AL136" s="141"/>
      <c r="AM136" s="141">
        <f t="shared" si="142"/>
        <v>36645.26</v>
      </c>
      <c r="AN136" s="141"/>
      <c r="AO136" s="141">
        <f t="shared" si="143"/>
        <v>34889.949999999997</v>
      </c>
      <c r="AP136" s="141"/>
      <c r="AQ136" s="141"/>
      <c r="AR136" s="141">
        <f t="shared" si="144"/>
        <v>35718.379999999997</v>
      </c>
      <c r="AS136" s="141">
        <v>12</v>
      </c>
      <c r="AT136" s="141"/>
      <c r="AU136" s="1068"/>
      <c r="AV136" s="141"/>
      <c r="AW136" s="141">
        <f t="shared" si="145"/>
        <v>65258.22</v>
      </c>
      <c r="AX136" s="141"/>
      <c r="AY136" s="141">
        <f t="shared" si="146"/>
        <v>81192.94</v>
      </c>
      <c r="AZ136" s="141"/>
      <c r="BA136" s="141">
        <f t="shared" si="147"/>
        <v>77353.2</v>
      </c>
      <c r="BB136" s="141"/>
      <c r="BC136" s="141"/>
      <c r="BD136" s="141">
        <f t="shared" si="148"/>
        <v>77787.27</v>
      </c>
      <c r="BE136" s="141"/>
      <c r="BF136" s="141">
        <f t="shared" si="149"/>
        <v>96908.93</v>
      </c>
      <c r="BG136" s="141"/>
      <c r="BH136" s="141"/>
      <c r="BI136" s="141"/>
      <c r="BJ136" s="141">
        <f t="shared" si="150"/>
        <v>25708.01</v>
      </c>
      <c r="BK136" s="141"/>
      <c r="BL136" s="141">
        <f t="shared" si="151"/>
        <v>27763.9</v>
      </c>
      <c r="BM136" s="141"/>
      <c r="BN136" s="141">
        <f t="shared" si="152"/>
        <v>23851.91</v>
      </c>
      <c r="BO136" s="141"/>
      <c r="BP136" s="141"/>
      <c r="BQ136" s="141">
        <f t="shared" si="153"/>
        <v>42444.76</v>
      </c>
      <c r="BR136" s="141"/>
      <c r="BS136" s="141">
        <f t="shared" si="154"/>
        <v>46158.78</v>
      </c>
      <c r="BT136" s="141"/>
      <c r="BU136" s="141">
        <f t="shared" si="155"/>
        <v>39091.67</v>
      </c>
      <c r="BV136" s="141"/>
      <c r="BW136" s="141"/>
      <c r="BX136" s="141">
        <f t="shared" si="156"/>
        <v>12</v>
      </c>
      <c r="BY136" s="141"/>
      <c r="BZ136" s="117"/>
    </row>
    <row r="137" spans="1:78" s="116" customFormat="1" ht="22.5" hidden="1" customHeight="1">
      <c r="A137" s="122"/>
      <c r="B137" s="286"/>
      <c r="C137" s="140" t="s">
        <v>410</v>
      </c>
      <c r="D137" s="141">
        <f t="shared" si="127"/>
        <v>31250.82</v>
      </c>
      <c r="E137" s="141">
        <f>E136+E135+E131</f>
        <v>0</v>
      </c>
      <c r="F137" s="141">
        <f t="shared" si="128"/>
        <v>38535.26</v>
      </c>
      <c r="G137" s="141">
        <f t="shared" ref="G137:BO137" si="158">G136+G135+G131</f>
        <v>0</v>
      </c>
      <c r="H137" s="141">
        <f t="shared" si="129"/>
        <v>36779.949999999997</v>
      </c>
      <c r="I137" s="141">
        <f t="shared" si="158"/>
        <v>0</v>
      </c>
      <c r="J137" s="141">
        <f t="shared" si="158"/>
        <v>0</v>
      </c>
      <c r="K137" s="141">
        <f t="shared" si="130"/>
        <v>35546.49</v>
      </c>
      <c r="L137" s="141">
        <f t="shared" si="158"/>
        <v>0</v>
      </c>
      <c r="M137" s="141">
        <f t="shared" si="131"/>
        <v>43923.6</v>
      </c>
      <c r="N137" s="141">
        <f t="shared" si="158"/>
        <v>0</v>
      </c>
      <c r="O137" s="141">
        <f t="shared" si="132"/>
        <v>41904.99</v>
      </c>
      <c r="P137" s="141">
        <f t="shared" si="158"/>
        <v>0</v>
      </c>
      <c r="Q137" s="141">
        <f>Q136+Q135+Q131</f>
        <v>0</v>
      </c>
      <c r="R137" s="141">
        <f t="shared" si="133"/>
        <v>41274.050000000003</v>
      </c>
      <c r="S137" s="141">
        <f t="shared" si="158"/>
        <v>0</v>
      </c>
      <c r="T137" s="141">
        <f t="shared" si="134"/>
        <v>51108.05</v>
      </c>
      <c r="U137" s="141">
        <f t="shared" si="158"/>
        <v>0</v>
      </c>
      <c r="V137" s="141">
        <f t="shared" si="135"/>
        <v>48738.38</v>
      </c>
      <c r="W137" s="141">
        <f t="shared" si="158"/>
        <v>0</v>
      </c>
      <c r="X137" s="141">
        <f>X136+X135+X131</f>
        <v>0</v>
      </c>
      <c r="Y137" s="141">
        <f t="shared" si="136"/>
        <v>45569.73</v>
      </c>
      <c r="Z137" s="141">
        <f t="shared" si="158"/>
        <v>0</v>
      </c>
      <c r="AA137" s="141">
        <f t="shared" si="137"/>
        <v>56496.39</v>
      </c>
      <c r="AB137" s="141">
        <f t="shared" si="158"/>
        <v>0</v>
      </c>
      <c r="AC137" s="141">
        <f t="shared" si="158"/>
        <v>0</v>
      </c>
      <c r="AD137" s="141">
        <f t="shared" si="138"/>
        <v>54161.08</v>
      </c>
      <c r="AE137" s="141">
        <f t="shared" si="158"/>
        <v>0</v>
      </c>
      <c r="AF137" s="141">
        <f t="shared" si="139"/>
        <v>67273.070000000007</v>
      </c>
      <c r="AG137" s="141">
        <f t="shared" si="158"/>
        <v>0</v>
      </c>
      <c r="AH137" s="141">
        <f t="shared" si="140"/>
        <v>64113.51</v>
      </c>
      <c r="AI137" s="141">
        <f t="shared" si="158"/>
        <v>0</v>
      </c>
      <c r="AJ137" s="141">
        <f>AJ136+AJ135+AJ131</f>
        <v>0</v>
      </c>
      <c r="AK137" s="141">
        <f t="shared" si="141"/>
        <v>29360.82</v>
      </c>
      <c r="AL137" s="141">
        <f t="shared" si="158"/>
        <v>0</v>
      </c>
      <c r="AM137" s="141">
        <f t="shared" si="142"/>
        <v>36645.26</v>
      </c>
      <c r="AN137" s="141">
        <f t="shared" si="158"/>
        <v>0</v>
      </c>
      <c r="AO137" s="141">
        <f t="shared" si="143"/>
        <v>34889.949999999997</v>
      </c>
      <c r="AP137" s="141">
        <f t="shared" si="158"/>
        <v>0</v>
      </c>
      <c r="AQ137" s="141">
        <f>AQ136+AQ135+AQ131</f>
        <v>0</v>
      </c>
      <c r="AR137" s="141">
        <f t="shared" si="144"/>
        <v>35718.379999999997</v>
      </c>
      <c r="AS137" s="141">
        <f t="shared" si="158"/>
        <v>12</v>
      </c>
      <c r="AT137" s="141">
        <f t="shared" si="158"/>
        <v>0</v>
      </c>
      <c r="AU137" s="1068">
        <f t="shared" si="158"/>
        <v>0</v>
      </c>
      <c r="AV137" s="141">
        <f t="shared" si="158"/>
        <v>0</v>
      </c>
      <c r="AW137" s="141">
        <f t="shared" si="145"/>
        <v>65258.22</v>
      </c>
      <c r="AX137" s="141">
        <f t="shared" si="158"/>
        <v>0</v>
      </c>
      <c r="AY137" s="141">
        <f t="shared" si="146"/>
        <v>81192.94</v>
      </c>
      <c r="AZ137" s="141">
        <f t="shared" si="158"/>
        <v>0</v>
      </c>
      <c r="BA137" s="141">
        <f t="shared" si="147"/>
        <v>77353.2</v>
      </c>
      <c r="BB137" s="141">
        <f t="shared" si="158"/>
        <v>0</v>
      </c>
      <c r="BC137" s="141">
        <f>BC136+BC135+BC131</f>
        <v>0</v>
      </c>
      <c r="BD137" s="141">
        <f t="shared" si="148"/>
        <v>77787.27</v>
      </c>
      <c r="BE137" s="141">
        <f t="shared" si="158"/>
        <v>0</v>
      </c>
      <c r="BF137" s="141">
        <f t="shared" si="149"/>
        <v>96908.93</v>
      </c>
      <c r="BG137" s="141">
        <f t="shared" si="158"/>
        <v>0</v>
      </c>
      <c r="BH137" s="141">
        <f t="shared" si="158"/>
        <v>0</v>
      </c>
      <c r="BI137" s="141">
        <f t="shared" si="158"/>
        <v>0</v>
      </c>
      <c r="BJ137" s="141">
        <f t="shared" si="150"/>
        <v>25708.01</v>
      </c>
      <c r="BK137" s="141">
        <f t="shared" si="158"/>
        <v>0</v>
      </c>
      <c r="BL137" s="141">
        <f t="shared" si="151"/>
        <v>27763.9</v>
      </c>
      <c r="BM137" s="141">
        <f t="shared" si="158"/>
        <v>0</v>
      </c>
      <c r="BN137" s="141">
        <f t="shared" si="152"/>
        <v>23851.91</v>
      </c>
      <c r="BO137" s="141">
        <f t="shared" si="158"/>
        <v>0</v>
      </c>
      <c r="BP137" s="141">
        <f>BP136+BP135+BP131</f>
        <v>0</v>
      </c>
      <c r="BQ137" s="141">
        <f t="shared" si="153"/>
        <v>42444.76</v>
      </c>
      <c r="BR137" s="141">
        <f t="shared" ref="BR137:BX137" si="159">BR136+BR135+BR131</f>
        <v>0</v>
      </c>
      <c r="BS137" s="141">
        <f t="shared" si="154"/>
        <v>46158.78</v>
      </c>
      <c r="BT137" s="141">
        <f t="shared" si="159"/>
        <v>0</v>
      </c>
      <c r="BU137" s="141">
        <f t="shared" si="155"/>
        <v>39091.67</v>
      </c>
      <c r="BV137" s="141">
        <f t="shared" si="159"/>
        <v>0</v>
      </c>
      <c r="BW137" s="141">
        <f t="shared" si="159"/>
        <v>0</v>
      </c>
      <c r="BX137" s="141">
        <f t="shared" si="159"/>
        <v>12</v>
      </c>
      <c r="BY137" s="141"/>
      <c r="BZ137" s="117"/>
    </row>
    <row r="138" spans="1:78" s="116" customFormat="1" ht="22.5" hidden="1" customHeight="1">
      <c r="A138" s="122" t="s">
        <v>396</v>
      </c>
      <c r="B138" s="312" t="s">
        <v>397</v>
      </c>
      <c r="C138" s="140" t="s">
        <v>410</v>
      </c>
      <c r="D138" s="141">
        <f t="shared" si="127"/>
        <v>31250.82</v>
      </c>
      <c r="E138" s="141"/>
      <c r="F138" s="141">
        <f t="shared" si="128"/>
        <v>38535.26</v>
      </c>
      <c r="G138" s="141"/>
      <c r="H138" s="141">
        <f t="shared" si="129"/>
        <v>36779.949999999997</v>
      </c>
      <c r="I138" s="141"/>
      <c r="J138" s="141"/>
      <c r="K138" s="141">
        <f t="shared" si="130"/>
        <v>35546.49</v>
      </c>
      <c r="L138" s="141"/>
      <c r="M138" s="141">
        <f t="shared" si="131"/>
        <v>43923.6</v>
      </c>
      <c r="N138" s="141"/>
      <c r="O138" s="141">
        <f t="shared" si="132"/>
        <v>41904.99</v>
      </c>
      <c r="P138" s="141"/>
      <c r="Q138" s="141"/>
      <c r="R138" s="141">
        <f t="shared" si="133"/>
        <v>41274.050000000003</v>
      </c>
      <c r="S138" s="141"/>
      <c r="T138" s="141">
        <f t="shared" si="134"/>
        <v>51108.05</v>
      </c>
      <c r="U138" s="141"/>
      <c r="V138" s="141">
        <f t="shared" si="135"/>
        <v>48738.38</v>
      </c>
      <c r="W138" s="141"/>
      <c r="X138" s="141"/>
      <c r="Y138" s="141">
        <f t="shared" si="136"/>
        <v>45569.73</v>
      </c>
      <c r="Z138" s="141"/>
      <c r="AA138" s="141">
        <f t="shared" si="137"/>
        <v>56496.39</v>
      </c>
      <c r="AB138" s="141"/>
      <c r="AC138" s="141"/>
      <c r="AD138" s="141">
        <f t="shared" si="138"/>
        <v>54161.08</v>
      </c>
      <c r="AE138" s="141"/>
      <c r="AF138" s="141">
        <f t="shared" si="139"/>
        <v>67273.070000000007</v>
      </c>
      <c r="AG138" s="141"/>
      <c r="AH138" s="141">
        <f t="shared" si="140"/>
        <v>64113.51</v>
      </c>
      <c r="AI138" s="141"/>
      <c r="AJ138" s="141"/>
      <c r="AK138" s="141">
        <f t="shared" si="141"/>
        <v>29360.82</v>
      </c>
      <c r="AL138" s="141"/>
      <c r="AM138" s="141">
        <f t="shared" si="142"/>
        <v>36645.26</v>
      </c>
      <c r="AN138" s="141"/>
      <c r="AO138" s="141">
        <f t="shared" si="143"/>
        <v>34889.949999999997</v>
      </c>
      <c r="AP138" s="141"/>
      <c r="AQ138" s="141"/>
      <c r="AR138" s="141">
        <f t="shared" si="144"/>
        <v>35718.379999999997</v>
      </c>
      <c r="AS138" s="141"/>
      <c r="AT138" s="141"/>
      <c r="AU138" s="1068"/>
      <c r="AV138" s="141"/>
      <c r="AW138" s="141">
        <f t="shared" si="145"/>
        <v>65258.22</v>
      </c>
      <c r="AX138" s="141"/>
      <c r="AY138" s="141">
        <f t="shared" si="146"/>
        <v>81192.94</v>
      </c>
      <c r="AZ138" s="141"/>
      <c r="BA138" s="141">
        <f t="shared" si="147"/>
        <v>77353.2</v>
      </c>
      <c r="BB138" s="141"/>
      <c r="BC138" s="141"/>
      <c r="BD138" s="141">
        <f t="shared" si="148"/>
        <v>77787.27</v>
      </c>
      <c r="BE138" s="141"/>
      <c r="BF138" s="141">
        <f t="shared" si="149"/>
        <v>96908.93</v>
      </c>
      <c r="BG138" s="141"/>
      <c r="BH138" s="141"/>
      <c r="BI138" s="141"/>
      <c r="BJ138" s="141">
        <f t="shared" si="150"/>
        <v>25708.01</v>
      </c>
      <c r="BK138" s="141"/>
      <c r="BL138" s="141">
        <f t="shared" si="151"/>
        <v>27763.9</v>
      </c>
      <c r="BM138" s="141"/>
      <c r="BN138" s="141">
        <f t="shared" si="152"/>
        <v>23851.91</v>
      </c>
      <c r="BO138" s="141"/>
      <c r="BP138" s="141"/>
      <c r="BQ138" s="141">
        <f t="shared" si="153"/>
        <v>42444.76</v>
      </c>
      <c r="BR138" s="141"/>
      <c r="BS138" s="141">
        <f t="shared" si="154"/>
        <v>46158.78</v>
      </c>
      <c r="BT138" s="141"/>
      <c r="BU138" s="141">
        <f t="shared" si="155"/>
        <v>39091.67</v>
      </c>
      <c r="BV138" s="141"/>
      <c r="BW138" s="141"/>
      <c r="BX138" s="141">
        <f t="shared" si="156"/>
        <v>0</v>
      </c>
      <c r="BY138" s="141"/>
      <c r="BZ138" s="117"/>
    </row>
    <row r="139" spans="1:78" s="116" customFormat="1" ht="22.5" hidden="1" customHeight="1">
      <c r="A139" s="122" t="s">
        <v>398</v>
      </c>
      <c r="B139" s="286" t="s">
        <v>397</v>
      </c>
      <c r="C139" s="140" t="s">
        <v>410</v>
      </c>
      <c r="D139" s="141">
        <f t="shared" si="127"/>
        <v>31250.82</v>
      </c>
      <c r="E139" s="141"/>
      <c r="F139" s="141">
        <f t="shared" si="128"/>
        <v>38535.26</v>
      </c>
      <c r="G139" s="141"/>
      <c r="H139" s="141">
        <f t="shared" si="129"/>
        <v>36779.949999999997</v>
      </c>
      <c r="I139" s="141"/>
      <c r="J139" s="141"/>
      <c r="K139" s="141">
        <f t="shared" si="130"/>
        <v>35546.49</v>
      </c>
      <c r="L139" s="141"/>
      <c r="M139" s="141">
        <f t="shared" si="131"/>
        <v>43923.6</v>
      </c>
      <c r="N139" s="141"/>
      <c r="O139" s="141">
        <f t="shared" si="132"/>
        <v>41904.99</v>
      </c>
      <c r="P139" s="141"/>
      <c r="Q139" s="141"/>
      <c r="R139" s="141">
        <f t="shared" si="133"/>
        <v>41274.050000000003</v>
      </c>
      <c r="S139" s="141"/>
      <c r="T139" s="141">
        <f t="shared" si="134"/>
        <v>51108.05</v>
      </c>
      <c r="U139" s="141"/>
      <c r="V139" s="141">
        <f t="shared" si="135"/>
        <v>48738.38</v>
      </c>
      <c r="W139" s="141"/>
      <c r="X139" s="141"/>
      <c r="Y139" s="141">
        <f t="shared" si="136"/>
        <v>45569.73</v>
      </c>
      <c r="Z139" s="141"/>
      <c r="AA139" s="141">
        <f t="shared" si="137"/>
        <v>56496.39</v>
      </c>
      <c r="AB139" s="141"/>
      <c r="AC139" s="141"/>
      <c r="AD139" s="141">
        <f t="shared" si="138"/>
        <v>54161.08</v>
      </c>
      <c r="AE139" s="141"/>
      <c r="AF139" s="141">
        <f t="shared" si="139"/>
        <v>67273.070000000007</v>
      </c>
      <c r="AG139" s="141"/>
      <c r="AH139" s="141">
        <f t="shared" si="140"/>
        <v>64113.51</v>
      </c>
      <c r="AI139" s="141"/>
      <c r="AJ139" s="141"/>
      <c r="AK139" s="141">
        <f t="shared" si="141"/>
        <v>29360.82</v>
      </c>
      <c r="AL139" s="141"/>
      <c r="AM139" s="141">
        <f t="shared" si="142"/>
        <v>36645.26</v>
      </c>
      <c r="AN139" s="141"/>
      <c r="AO139" s="141">
        <f t="shared" si="143"/>
        <v>34889.949999999997</v>
      </c>
      <c r="AP139" s="141"/>
      <c r="AQ139" s="141"/>
      <c r="AR139" s="141">
        <f t="shared" si="144"/>
        <v>35718.379999999997</v>
      </c>
      <c r="AS139" s="141"/>
      <c r="AT139" s="141"/>
      <c r="AU139" s="1068"/>
      <c r="AV139" s="141"/>
      <c r="AW139" s="141">
        <f t="shared" si="145"/>
        <v>65258.22</v>
      </c>
      <c r="AX139" s="141"/>
      <c r="AY139" s="141">
        <f t="shared" si="146"/>
        <v>81192.94</v>
      </c>
      <c r="AZ139" s="141"/>
      <c r="BA139" s="141">
        <f t="shared" si="147"/>
        <v>77353.2</v>
      </c>
      <c r="BB139" s="141"/>
      <c r="BC139" s="141"/>
      <c r="BD139" s="141">
        <f t="shared" si="148"/>
        <v>77787.27</v>
      </c>
      <c r="BE139" s="141"/>
      <c r="BF139" s="141">
        <f t="shared" si="149"/>
        <v>96908.93</v>
      </c>
      <c r="BG139" s="141"/>
      <c r="BH139" s="141"/>
      <c r="BI139" s="141"/>
      <c r="BJ139" s="141">
        <f t="shared" si="150"/>
        <v>25708.01</v>
      </c>
      <c r="BK139" s="141"/>
      <c r="BL139" s="141">
        <f t="shared" si="151"/>
        <v>27763.9</v>
      </c>
      <c r="BM139" s="141"/>
      <c r="BN139" s="141">
        <f t="shared" si="152"/>
        <v>23851.91</v>
      </c>
      <c r="BO139" s="141"/>
      <c r="BP139" s="141"/>
      <c r="BQ139" s="141">
        <f t="shared" si="153"/>
        <v>42444.76</v>
      </c>
      <c r="BR139" s="141"/>
      <c r="BS139" s="141">
        <f t="shared" si="154"/>
        <v>46158.78</v>
      </c>
      <c r="BT139" s="141"/>
      <c r="BU139" s="141">
        <f t="shared" si="155"/>
        <v>39091.67</v>
      </c>
      <c r="BV139" s="141"/>
      <c r="BW139" s="141"/>
      <c r="BX139" s="141">
        <f t="shared" si="156"/>
        <v>0</v>
      </c>
      <c r="BY139" s="141"/>
      <c r="BZ139" s="117"/>
    </row>
    <row r="140" spans="1:78" s="116" customFormat="1" ht="22.5" hidden="1" customHeight="1">
      <c r="A140" s="122" t="s">
        <v>399</v>
      </c>
      <c r="B140" s="286" t="s">
        <v>397</v>
      </c>
      <c r="C140" s="140" t="s">
        <v>410</v>
      </c>
      <c r="D140" s="141">
        <f t="shared" si="127"/>
        <v>31250.82</v>
      </c>
      <c r="E140" s="141"/>
      <c r="F140" s="141">
        <f t="shared" si="128"/>
        <v>38535.26</v>
      </c>
      <c r="G140" s="141"/>
      <c r="H140" s="141">
        <f t="shared" si="129"/>
        <v>36779.949999999997</v>
      </c>
      <c r="I140" s="141"/>
      <c r="J140" s="141"/>
      <c r="K140" s="141">
        <f t="shared" si="130"/>
        <v>35546.49</v>
      </c>
      <c r="L140" s="141"/>
      <c r="M140" s="141">
        <f t="shared" si="131"/>
        <v>43923.6</v>
      </c>
      <c r="N140" s="141"/>
      <c r="O140" s="141">
        <f t="shared" si="132"/>
        <v>41904.99</v>
      </c>
      <c r="P140" s="141"/>
      <c r="Q140" s="141"/>
      <c r="R140" s="141">
        <f t="shared" si="133"/>
        <v>41274.050000000003</v>
      </c>
      <c r="S140" s="141"/>
      <c r="T140" s="141">
        <f t="shared" si="134"/>
        <v>51108.05</v>
      </c>
      <c r="U140" s="141"/>
      <c r="V140" s="141">
        <f t="shared" si="135"/>
        <v>48738.38</v>
      </c>
      <c r="W140" s="141"/>
      <c r="X140" s="141"/>
      <c r="Y140" s="141">
        <f t="shared" si="136"/>
        <v>45569.73</v>
      </c>
      <c r="Z140" s="141"/>
      <c r="AA140" s="141">
        <f t="shared" si="137"/>
        <v>56496.39</v>
      </c>
      <c r="AB140" s="141"/>
      <c r="AC140" s="141"/>
      <c r="AD140" s="141">
        <f t="shared" si="138"/>
        <v>54161.08</v>
      </c>
      <c r="AE140" s="141"/>
      <c r="AF140" s="141">
        <f t="shared" si="139"/>
        <v>67273.070000000007</v>
      </c>
      <c r="AG140" s="141"/>
      <c r="AH140" s="141">
        <f t="shared" si="140"/>
        <v>64113.51</v>
      </c>
      <c r="AI140" s="141"/>
      <c r="AJ140" s="141"/>
      <c r="AK140" s="141">
        <f t="shared" si="141"/>
        <v>29360.82</v>
      </c>
      <c r="AL140" s="141"/>
      <c r="AM140" s="141">
        <f t="shared" si="142"/>
        <v>36645.26</v>
      </c>
      <c r="AN140" s="141"/>
      <c r="AO140" s="141">
        <f t="shared" si="143"/>
        <v>34889.949999999997</v>
      </c>
      <c r="AP140" s="141"/>
      <c r="AQ140" s="141"/>
      <c r="AR140" s="141">
        <f t="shared" si="144"/>
        <v>35718.379999999997</v>
      </c>
      <c r="AS140" s="141"/>
      <c r="AT140" s="141"/>
      <c r="AU140" s="1068"/>
      <c r="AV140" s="141"/>
      <c r="AW140" s="141">
        <f t="shared" si="145"/>
        <v>65258.22</v>
      </c>
      <c r="AX140" s="141"/>
      <c r="AY140" s="141">
        <f t="shared" si="146"/>
        <v>81192.94</v>
      </c>
      <c r="AZ140" s="141"/>
      <c r="BA140" s="141">
        <f t="shared" si="147"/>
        <v>77353.2</v>
      </c>
      <c r="BB140" s="141"/>
      <c r="BC140" s="141"/>
      <c r="BD140" s="141">
        <f t="shared" si="148"/>
        <v>77787.27</v>
      </c>
      <c r="BE140" s="141"/>
      <c r="BF140" s="141">
        <f t="shared" si="149"/>
        <v>96908.93</v>
      </c>
      <c r="BG140" s="141"/>
      <c r="BH140" s="141"/>
      <c r="BI140" s="141"/>
      <c r="BJ140" s="141">
        <f t="shared" si="150"/>
        <v>25708.01</v>
      </c>
      <c r="BK140" s="141"/>
      <c r="BL140" s="141">
        <f t="shared" si="151"/>
        <v>27763.9</v>
      </c>
      <c r="BM140" s="141"/>
      <c r="BN140" s="141">
        <f t="shared" si="152"/>
        <v>23851.91</v>
      </c>
      <c r="BO140" s="141"/>
      <c r="BP140" s="141"/>
      <c r="BQ140" s="141">
        <f t="shared" si="153"/>
        <v>42444.76</v>
      </c>
      <c r="BR140" s="141"/>
      <c r="BS140" s="141">
        <f t="shared" si="154"/>
        <v>46158.78</v>
      </c>
      <c r="BT140" s="141"/>
      <c r="BU140" s="141">
        <f t="shared" si="155"/>
        <v>39091.67</v>
      </c>
      <c r="BV140" s="141"/>
      <c r="BW140" s="141"/>
      <c r="BX140" s="141">
        <f>BV140+BT140+BR140+BO140+BM140+BK140+BG140+BE140+BB140+AZ140+AX140+AS140+AP140+AN140+AL140+AI140+AG140+AE140+AB140+Z140+W140+U140+S140+P140+N140+L140+I140+G140+E140</f>
        <v>0</v>
      </c>
      <c r="BY140" s="141"/>
      <c r="BZ140" s="117"/>
    </row>
    <row r="141" spans="1:78" s="116" customFormat="1" ht="22.5" hidden="1" customHeight="1">
      <c r="A141" s="122" t="s">
        <v>400</v>
      </c>
      <c r="B141" s="286" t="s">
        <v>397</v>
      </c>
      <c r="C141" s="140" t="s">
        <v>410</v>
      </c>
      <c r="D141" s="141">
        <f t="shared" si="127"/>
        <v>31250.82</v>
      </c>
      <c r="E141" s="141"/>
      <c r="F141" s="141">
        <f t="shared" si="128"/>
        <v>38535.26</v>
      </c>
      <c r="G141" s="141"/>
      <c r="H141" s="141">
        <f t="shared" si="129"/>
        <v>36779.949999999997</v>
      </c>
      <c r="I141" s="141"/>
      <c r="J141" s="141"/>
      <c r="K141" s="141">
        <f t="shared" si="130"/>
        <v>35546.49</v>
      </c>
      <c r="L141" s="141"/>
      <c r="M141" s="141">
        <f t="shared" si="131"/>
        <v>43923.6</v>
      </c>
      <c r="N141" s="141"/>
      <c r="O141" s="141">
        <f t="shared" si="132"/>
        <v>41904.99</v>
      </c>
      <c r="P141" s="141"/>
      <c r="Q141" s="141"/>
      <c r="R141" s="141">
        <f t="shared" si="133"/>
        <v>41274.050000000003</v>
      </c>
      <c r="S141" s="141"/>
      <c r="T141" s="141">
        <f t="shared" si="134"/>
        <v>51108.05</v>
      </c>
      <c r="U141" s="141"/>
      <c r="V141" s="141">
        <f t="shared" si="135"/>
        <v>48738.38</v>
      </c>
      <c r="W141" s="141"/>
      <c r="X141" s="141"/>
      <c r="Y141" s="141">
        <f t="shared" si="136"/>
        <v>45569.73</v>
      </c>
      <c r="Z141" s="141"/>
      <c r="AA141" s="141">
        <f t="shared" si="137"/>
        <v>56496.39</v>
      </c>
      <c r="AB141" s="141"/>
      <c r="AC141" s="141"/>
      <c r="AD141" s="141">
        <f t="shared" si="138"/>
        <v>54161.08</v>
      </c>
      <c r="AE141" s="141"/>
      <c r="AF141" s="141">
        <f t="shared" si="139"/>
        <v>67273.070000000007</v>
      </c>
      <c r="AG141" s="141"/>
      <c r="AH141" s="141">
        <f t="shared" si="140"/>
        <v>64113.51</v>
      </c>
      <c r="AI141" s="141"/>
      <c r="AJ141" s="141"/>
      <c r="AK141" s="141">
        <f t="shared" si="141"/>
        <v>29360.82</v>
      </c>
      <c r="AL141" s="141"/>
      <c r="AM141" s="141">
        <f t="shared" si="142"/>
        <v>36645.26</v>
      </c>
      <c r="AN141" s="141"/>
      <c r="AO141" s="141">
        <f t="shared" si="143"/>
        <v>34889.949999999997</v>
      </c>
      <c r="AP141" s="141"/>
      <c r="AQ141" s="141"/>
      <c r="AR141" s="141">
        <f t="shared" si="144"/>
        <v>35718.379999999997</v>
      </c>
      <c r="AS141" s="141"/>
      <c r="AT141" s="141"/>
      <c r="AU141" s="1068"/>
      <c r="AV141" s="141"/>
      <c r="AW141" s="141">
        <f t="shared" si="145"/>
        <v>65258.22</v>
      </c>
      <c r="AX141" s="141"/>
      <c r="AY141" s="141">
        <f t="shared" si="146"/>
        <v>81192.94</v>
      </c>
      <c r="AZ141" s="141"/>
      <c r="BA141" s="141">
        <f t="shared" si="147"/>
        <v>77353.2</v>
      </c>
      <c r="BB141" s="141"/>
      <c r="BC141" s="141"/>
      <c r="BD141" s="141">
        <f t="shared" si="148"/>
        <v>77787.27</v>
      </c>
      <c r="BE141" s="141"/>
      <c r="BF141" s="141">
        <f t="shared" si="149"/>
        <v>96908.93</v>
      </c>
      <c r="BG141" s="141"/>
      <c r="BH141" s="141"/>
      <c r="BI141" s="141"/>
      <c r="BJ141" s="141">
        <f t="shared" si="150"/>
        <v>25708.01</v>
      </c>
      <c r="BK141" s="141"/>
      <c r="BL141" s="141">
        <f t="shared" si="151"/>
        <v>27763.9</v>
      </c>
      <c r="BM141" s="141"/>
      <c r="BN141" s="141">
        <f t="shared" si="152"/>
        <v>23851.91</v>
      </c>
      <c r="BO141" s="141"/>
      <c r="BP141" s="141"/>
      <c r="BQ141" s="141">
        <f t="shared" si="153"/>
        <v>42444.76</v>
      </c>
      <c r="BR141" s="141"/>
      <c r="BS141" s="141">
        <f t="shared" si="154"/>
        <v>46158.78</v>
      </c>
      <c r="BT141" s="141"/>
      <c r="BU141" s="141">
        <f t="shared" si="155"/>
        <v>39091.67</v>
      </c>
      <c r="BV141" s="141"/>
      <c r="BW141" s="141"/>
      <c r="BX141" s="141">
        <f>BV141+BT141+BR141+BO141+BM141+BK141+BG141+BE141+BB141+AZ141+AX141+AS141+AP141+AN141+AL141+AI141+AG141+AE141+AB141+Z141+W141+U141+S141+P141+N141+L141+I141+G141+E141</f>
        <v>0</v>
      </c>
      <c r="BY141" s="141"/>
      <c r="BZ141" s="117"/>
    </row>
    <row r="142" spans="1:78" s="159" customFormat="1" ht="32.450000000000003" customHeight="1" thickBot="1">
      <c r="A142" s="151"/>
      <c r="B142" s="294" t="s">
        <v>501</v>
      </c>
      <c r="C142" s="140" t="s">
        <v>410</v>
      </c>
      <c r="D142" s="141">
        <f t="shared" si="127"/>
        <v>31250.82</v>
      </c>
      <c r="E142" s="141">
        <f>E141+E140+E139+E137+E133+E130</f>
        <v>282</v>
      </c>
      <c r="F142" s="141">
        <f t="shared" si="128"/>
        <v>38535.26</v>
      </c>
      <c r="G142" s="141">
        <f>G141+G140+G139+G137+G133+G130</f>
        <v>338</v>
      </c>
      <c r="H142" s="141">
        <f t="shared" si="129"/>
        <v>36779.949999999997</v>
      </c>
      <c r="I142" s="141">
        <f>I141+I140+I139+I137+I133+I130</f>
        <v>67</v>
      </c>
      <c r="J142" s="141">
        <f>J141+J140+J139+J137+J133+J130</f>
        <v>24301905.77</v>
      </c>
      <c r="K142" s="141">
        <f t="shared" si="130"/>
        <v>35546.49</v>
      </c>
      <c r="L142" s="141">
        <f>L141+L140+L139+L137+L133+L130</f>
        <v>0</v>
      </c>
      <c r="M142" s="141">
        <f t="shared" si="131"/>
        <v>43923.6</v>
      </c>
      <c r="N142" s="141">
        <f>N141+N140+N139+N137+N133+N130</f>
        <v>0</v>
      </c>
      <c r="O142" s="141">
        <f t="shared" si="132"/>
        <v>41904.99</v>
      </c>
      <c r="P142" s="141">
        <f>P141+P140+P139+P137+P133+P130</f>
        <v>0</v>
      </c>
      <c r="Q142" s="141">
        <f>Q141+Q140+Q139+Q137+Q133+Q130</f>
        <v>0</v>
      </c>
      <c r="R142" s="141">
        <f t="shared" si="133"/>
        <v>41274.050000000003</v>
      </c>
      <c r="S142" s="141">
        <f>S141+S140+S139+S137+S133+S130</f>
        <v>0</v>
      </c>
      <c r="T142" s="141">
        <f t="shared" si="134"/>
        <v>51108.05</v>
      </c>
      <c r="U142" s="141">
        <f>U141+U140+U139+U137+U133+U130</f>
        <v>0</v>
      </c>
      <c r="V142" s="141">
        <f t="shared" si="135"/>
        <v>48738.38</v>
      </c>
      <c r="W142" s="141">
        <f>W141+W140+W139+W137+W133+W130</f>
        <v>0</v>
      </c>
      <c r="X142" s="141">
        <f>X141+X140+X139+X137+X133+X130</f>
        <v>0</v>
      </c>
      <c r="Y142" s="141">
        <f t="shared" si="136"/>
        <v>45569.73</v>
      </c>
      <c r="Z142" s="141">
        <f>Z141+Z140+Z139+Z137+Z133+Z130</f>
        <v>0</v>
      </c>
      <c r="AA142" s="141">
        <f t="shared" si="137"/>
        <v>56496.39</v>
      </c>
      <c r="AB142" s="141">
        <f>AB141+AB140+AB139+AB137+AB133+AB130</f>
        <v>0</v>
      </c>
      <c r="AC142" s="141">
        <f>AC141+AC140+AC139+AC137+AC133+AC130</f>
        <v>0</v>
      </c>
      <c r="AD142" s="141">
        <f t="shared" si="138"/>
        <v>54161.08</v>
      </c>
      <c r="AE142" s="141">
        <f>AE141+AE140+AE139+AE137+AE133+AE130</f>
        <v>4</v>
      </c>
      <c r="AF142" s="141">
        <f t="shared" si="139"/>
        <v>67273.070000000007</v>
      </c>
      <c r="AG142" s="141">
        <f>AG141+AG140+AG139+AG137+AG133+AG130</f>
        <v>4</v>
      </c>
      <c r="AH142" s="141">
        <f t="shared" si="140"/>
        <v>64113.51</v>
      </c>
      <c r="AI142" s="141">
        <f>AI141+AI140+AI139+AI137+AI133+AI130</f>
        <v>0</v>
      </c>
      <c r="AJ142" s="141">
        <f>AJ141+AJ140+AJ139+AJ137+AJ133+AJ130</f>
        <v>485736.6</v>
      </c>
      <c r="AK142" s="141">
        <f t="shared" si="141"/>
        <v>29360.82</v>
      </c>
      <c r="AL142" s="141">
        <f>AL141+AL140+AL139+AL137+AL133+AL130</f>
        <v>0</v>
      </c>
      <c r="AM142" s="141">
        <f t="shared" si="142"/>
        <v>36645.26</v>
      </c>
      <c r="AN142" s="141">
        <f>AN141+AN140+AN139+AN137+AN133+AN130</f>
        <v>0</v>
      </c>
      <c r="AO142" s="141">
        <f t="shared" si="143"/>
        <v>34889.949999999997</v>
      </c>
      <c r="AP142" s="141">
        <f>AP141+AP140+AP139+AP137+AP133+AP130</f>
        <v>0</v>
      </c>
      <c r="AQ142" s="141">
        <f>AQ141+AQ140+AQ139+AQ137+AQ133+AQ130</f>
        <v>0</v>
      </c>
      <c r="AR142" s="141">
        <f t="shared" si="144"/>
        <v>35718.379999999997</v>
      </c>
      <c r="AS142" s="141">
        <v>0</v>
      </c>
      <c r="AT142" s="141">
        <f>AT141+AT140+AT139+AT137+AT133+AT130</f>
        <v>0</v>
      </c>
      <c r="AU142" s="1068">
        <f>AU141+AU140+AU139+AU137+AU133+AU130</f>
        <v>24787642.370000001</v>
      </c>
      <c r="AV142" s="141">
        <f>AV141+AV140+AV139+AV137+AV133+AV130</f>
        <v>0</v>
      </c>
      <c r="AW142" s="141">
        <f t="shared" si="145"/>
        <v>65258.22</v>
      </c>
      <c r="AX142" s="141">
        <f>AX141+AX140+AX139+AX137+AX133+AX130</f>
        <v>0</v>
      </c>
      <c r="AY142" s="141">
        <f t="shared" si="146"/>
        <v>81192.94</v>
      </c>
      <c r="AZ142" s="141">
        <f>AZ141+AZ140+AZ139+AZ137+AZ133+AZ130</f>
        <v>0</v>
      </c>
      <c r="BA142" s="141">
        <f t="shared" si="147"/>
        <v>77353.2</v>
      </c>
      <c r="BB142" s="141">
        <f>BB141+BB140+BB139+BB137+BB133+BB130</f>
        <v>0</v>
      </c>
      <c r="BC142" s="141">
        <f>BC141+BC140+BC139+BC137+BC133+BC130</f>
        <v>0</v>
      </c>
      <c r="BD142" s="141">
        <f t="shared" si="148"/>
        <v>77787.27</v>
      </c>
      <c r="BE142" s="141">
        <f>BE141+BE140+BE139+BE137+BE133+BE130</f>
        <v>0</v>
      </c>
      <c r="BF142" s="141">
        <f t="shared" si="149"/>
        <v>96908.93</v>
      </c>
      <c r="BG142" s="141">
        <f>BG141+BG140+BG139+BG137+BG133+BG130</f>
        <v>0</v>
      </c>
      <c r="BH142" s="141">
        <f>BH141+BH140+BH139+BH137+BH133+BH130</f>
        <v>0</v>
      </c>
      <c r="BI142" s="141">
        <f>BI141+BI140+BI139+BI137+BI133+BI130</f>
        <v>0</v>
      </c>
      <c r="BJ142" s="141">
        <f t="shared" si="150"/>
        <v>25708.01</v>
      </c>
      <c r="BK142" s="141">
        <f>BK141+BK140+BK139+BK137+BK133+BK130</f>
        <v>0</v>
      </c>
      <c r="BL142" s="141">
        <f t="shared" si="151"/>
        <v>27763.9</v>
      </c>
      <c r="BM142" s="141">
        <f>BM141+BM140+BM139+BM137+BM133+BM130</f>
        <v>0</v>
      </c>
      <c r="BN142" s="141">
        <f t="shared" si="152"/>
        <v>23851.91</v>
      </c>
      <c r="BO142" s="141">
        <f>BO141+BO140+BO139+BO137+BO133+BO130</f>
        <v>0</v>
      </c>
      <c r="BP142" s="141">
        <f>BP141+BP140+BP139+BP137+BP133+BP130</f>
        <v>0</v>
      </c>
      <c r="BQ142" s="141">
        <f t="shared" si="153"/>
        <v>42444.76</v>
      </c>
      <c r="BR142" s="141">
        <f t="shared" ref="BR142:BW142" si="160">BR141+BR140+BR139+BR137+BR133+BR130</f>
        <v>0</v>
      </c>
      <c r="BS142" s="141">
        <f t="shared" si="154"/>
        <v>46158.78</v>
      </c>
      <c r="BT142" s="141">
        <f t="shared" si="160"/>
        <v>0</v>
      </c>
      <c r="BU142" s="141">
        <f t="shared" si="155"/>
        <v>39091.67</v>
      </c>
      <c r="BV142" s="141">
        <f t="shared" si="160"/>
        <v>0</v>
      </c>
      <c r="BW142" s="141">
        <f t="shared" si="160"/>
        <v>0</v>
      </c>
      <c r="BX142" s="141">
        <f>BX130+BX131</f>
        <v>695</v>
      </c>
      <c r="BY142" s="141"/>
      <c r="BZ142" s="158"/>
    </row>
    <row r="143" spans="1:78" ht="25.15" customHeight="1" thickBot="1">
      <c r="A143" s="194"/>
      <c r="B143" s="195" t="s">
        <v>502</v>
      </c>
      <c r="C143" s="140" t="s">
        <v>410</v>
      </c>
      <c r="D143" s="756">
        <f t="shared" si="127"/>
        <v>31250.82</v>
      </c>
      <c r="E143" s="758">
        <f>E142</f>
        <v>282</v>
      </c>
      <c r="F143" s="756">
        <f t="shared" si="128"/>
        <v>38535.26</v>
      </c>
      <c r="G143" s="758">
        <f t="shared" ref="G143:BO143" si="161">G142</f>
        <v>338</v>
      </c>
      <c r="H143" s="756">
        <f t="shared" si="129"/>
        <v>36779.949999999997</v>
      </c>
      <c r="I143" s="758">
        <f t="shared" si="161"/>
        <v>67</v>
      </c>
      <c r="J143" s="759">
        <f t="shared" si="161"/>
        <v>24301905.77</v>
      </c>
      <c r="K143" s="756">
        <f t="shared" si="130"/>
        <v>35546.49</v>
      </c>
      <c r="L143" s="758">
        <f t="shared" si="161"/>
        <v>0</v>
      </c>
      <c r="M143" s="756">
        <f t="shared" si="131"/>
        <v>43923.6</v>
      </c>
      <c r="N143" s="758">
        <f t="shared" si="161"/>
        <v>0</v>
      </c>
      <c r="O143" s="756">
        <f t="shared" si="132"/>
        <v>41904.99</v>
      </c>
      <c r="P143" s="758">
        <f t="shared" si="161"/>
        <v>0</v>
      </c>
      <c r="Q143" s="758">
        <f>Q142</f>
        <v>0</v>
      </c>
      <c r="R143" s="756">
        <f t="shared" si="133"/>
        <v>41274.050000000003</v>
      </c>
      <c r="S143" s="758">
        <f t="shared" si="161"/>
        <v>0</v>
      </c>
      <c r="T143" s="756">
        <f t="shared" si="134"/>
        <v>51108.05</v>
      </c>
      <c r="U143" s="758">
        <f t="shared" si="161"/>
        <v>0</v>
      </c>
      <c r="V143" s="756">
        <f t="shared" si="135"/>
        <v>48738.38</v>
      </c>
      <c r="W143" s="758">
        <f t="shared" si="161"/>
        <v>0</v>
      </c>
      <c r="X143" s="758">
        <f>X142</f>
        <v>0</v>
      </c>
      <c r="Y143" s="756">
        <f t="shared" si="136"/>
        <v>45569.73</v>
      </c>
      <c r="Z143" s="758">
        <f t="shared" si="161"/>
        <v>0</v>
      </c>
      <c r="AA143" s="756">
        <f t="shared" si="137"/>
        <v>56496.39</v>
      </c>
      <c r="AB143" s="758">
        <f t="shared" si="161"/>
        <v>0</v>
      </c>
      <c r="AC143" s="758">
        <f t="shared" si="161"/>
        <v>0</v>
      </c>
      <c r="AD143" s="756">
        <f t="shared" si="138"/>
        <v>54161.08</v>
      </c>
      <c r="AE143" s="758">
        <f t="shared" si="161"/>
        <v>4</v>
      </c>
      <c r="AF143" s="756">
        <f t="shared" si="139"/>
        <v>67273.070000000007</v>
      </c>
      <c r="AG143" s="758">
        <f t="shared" si="161"/>
        <v>4</v>
      </c>
      <c r="AH143" s="756">
        <f t="shared" si="140"/>
        <v>64113.51</v>
      </c>
      <c r="AI143" s="758">
        <f t="shared" si="161"/>
        <v>0</v>
      </c>
      <c r="AJ143" s="758">
        <f>AJ142</f>
        <v>485736.6</v>
      </c>
      <c r="AK143" s="756">
        <f t="shared" si="141"/>
        <v>29360.82</v>
      </c>
      <c r="AL143" s="758">
        <f t="shared" si="161"/>
        <v>0</v>
      </c>
      <c r="AM143" s="756">
        <f t="shared" si="142"/>
        <v>36645.26</v>
      </c>
      <c r="AN143" s="758">
        <f t="shared" si="161"/>
        <v>0</v>
      </c>
      <c r="AO143" s="756">
        <f t="shared" si="143"/>
        <v>34889.949999999997</v>
      </c>
      <c r="AP143" s="758">
        <f t="shared" si="161"/>
        <v>0</v>
      </c>
      <c r="AQ143" s="758">
        <f>AQ142</f>
        <v>0</v>
      </c>
      <c r="AR143" s="756">
        <f t="shared" si="144"/>
        <v>35718.379999999997</v>
      </c>
      <c r="AS143" s="758">
        <f t="shared" si="161"/>
        <v>0</v>
      </c>
      <c r="AT143" s="758">
        <f t="shared" si="161"/>
        <v>0</v>
      </c>
      <c r="AU143" s="764">
        <f t="shared" si="161"/>
        <v>24787642.370000001</v>
      </c>
      <c r="AV143" s="1055">
        <f>'старое не смотреть'!D214</f>
        <v>39248918.869999997</v>
      </c>
      <c r="AW143" s="756">
        <f t="shared" si="145"/>
        <v>65258.22</v>
      </c>
      <c r="AX143" s="758">
        <f t="shared" si="161"/>
        <v>0</v>
      </c>
      <c r="AY143" s="756">
        <f t="shared" si="146"/>
        <v>81192.94</v>
      </c>
      <c r="AZ143" s="758">
        <f t="shared" si="161"/>
        <v>0</v>
      </c>
      <c r="BA143" s="756">
        <f t="shared" si="147"/>
        <v>77353.2</v>
      </c>
      <c r="BB143" s="758">
        <f t="shared" si="161"/>
        <v>0</v>
      </c>
      <c r="BC143" s="758">
        <f>BC142</f>
        <v>0</v>
      </c>
      <c r="BD143" s="756">
        <f t="shared" si="148"/>
        <v>77787.27</v>
      </c>
      <c r="BE143" s="758">
        <f t="shared" si="161"/>
        <v>0</v>
      </c>
      <c r="BF143" s="756">
        <f t="shared" si="149"/>
        <v>96908.93</v>
      </c>
      <c r="BG143" s="758">
        <f t="shared" si="161"/>
        <v>0</v>
      </c>
      <c r="BH143" s="758">
        <f t="shared" si="161"/>
        <v>0</v>
      </c>
      <c r="BI143" s="758">
        <f t="shared" si="161"/>
        <v>0</v>
      </c>
      <c r="BJ143" s="756">
        <f t="shared" si="150"/>
        <v>25708.01</v>
      </c>
      <c r="BK143" s="758">
        <f t="shared" si="161"/>
        <v>0</v>
      </c>
      <c r="BL143" s="756">
        <f t="shared" si="151"/>
        <v>27763.9</v>
      </c>
      <c r="BM143" s="758">
        <f t="shared" si="161"/>
        <v>0</v>
      </c>
      <c r="BN143" s="756">
        <f t="shared" si="152"/>
        <v>23851.91</v>
      </c>
      <c r="BO143" s="758">
        <f t="shared" si="161"/>
        <v>0</v>
      </c>
      <c r="BP143" s="758">
        <f>BP142</f>
        <v>0</v>
      </c>
      <c r="BQ143" s="756">
        <f t="shared" si="153"/>
        <v>42444.76</v>
      </c>
      <c r="BR143" s="758">
        <f t="shared" ref="BR143:BX143" si="162">BR142</f>
        <v>0</v>
      </c>
      <c r="BS143" s="756">
        <f t="shared" si="154"/>
        <v>46158.78</v>
      </c>
      <c r="BT143" s="758">
        <f t="shared" si="162"/>
        <v>0</v>
      </c>
      <c r="BU143" s="756">
        <f t="shared" si="155"/>
        <v>39091.67</v>
      </c>
      <c r="BV143" s="758">
        <f t="shared" si="162"/>
        <v>0</v>
      </c>
      <c r="BW143" s="758">
        <f t="shared" si="162"/>
        <v>0</v>
      </c>
      <c r="BX143" s="760">
        <f t="shared" si="162"/>
        <v>695</v>
      </c>
      <c r="BY143" s="757"/>
      <c r="BZ143" s="178"/>
    </row>
    <row r="144" spans="1:78" ht="18.75">
      <c r="A144" s="1631" t="s">
        <v>231</v>
      </c>
      <c r="B144" s="1632"/>
      <c r="C144" s="1633"/>
      <c r="D144" s="141">
        <f t="shared" si="127"/>
        <v>31250.82</v>
      </c>
      <c r="F144" s="141">
        <f t="shared" si="128"/>
        <v>38535.26</v>
      </c>
      <c r="H144" s="141">
        <f t="shared" si="129"/>
        <v>36779.949999999997</v>
      </c>
      <c r="K144" s="141">
        <f t="shared" si="130"/>
        <v>35546.49</v>
      </c>
      <c r="M144" s="141">
        <f t="shared" si="131"/>
        <v>43923.6</v>
      </c>
      <c r="O144" s="141">
        <f t="shared" si="132"/>
        <v>41904.99</v>
      </c>
      <c r="R144" s="141">
        <f t="shared" si="133"/>
        <v>41274.050000000003</v>
      </c>
      <c r="T144" s="141">
        <f t="shared" si="134"/>
        <v>51108.05</v>
      </c>
      <c r="V144" s="141">
        <f t="shared" si="135"/>
        <v>48738.38</v>
      </c>
      <c r="Y144" s="141">
        <f t="shared" si="136"/>
        <v>45569.73</v>
      </c>
      <c r="AA144" s="141">
        <f t="shared" si="137"/>
        <v>56496.39</v>
      </c>
      <c r="AD144" s="141">
        <f t="shared" si="138"/>
        <v>54161.08</v>
      </c>
      <c r="AF144" s="141">
        <f t="shared" si="139"/>
        <v>67273.070000000007</v>
      </c>
      <c r="AH144" s="141">
        <f t="shared" si="140"/>
        <v>64113.51</v>
      </c>
      <c r="AK144" s="141">
        <f t="shared" si="141"/>
        <v>29360.82</v>
      </c>
      <c r="AM144" s="141">
        <f t="shared" si="142"/>
        <v>36645.26</v>
      </c>
      <c r="AO144" s="141">
        <f t="shared" si="143"/>
        <v>34889.949999999997</v>
      </c>
      <c r="AR144" s="141">
        <f t="shared" si="144"/>
        <v>35718.379999999997</v>
      </c>
      <c r="AV144" s="212">
        <f>ROUND(AV148/AU148,3)</f>
        <v>1.208</v>
      </c>
      <c r="AW144" s="141">
        <f t="shared" si="145"/>
        <v>65258.22</v>
      </c>
      <c r="AY144" s="141">
        <f t="shared" si="146"/>
        <v>81192.94</v>
      </c>
      <c r="BA144" s="141">
        <f t="shared" si="147"/>
        <v>77353.2</v>
      </c>
      <c r="BD144" s="141">
        <f t="shared" si="148"/>
        <v>77787.27</v>
      </c>
      <c r="BF144" s="141">
        <f t="shared" si="149"/>
        <v>96908.93</v>
      </c>
      <c r="BJ144" s="141">
        <f t="shared" si="150"/>
        <v>25708.01</v>
      </c>
      <c r="BL144" s="141">
        <f t="shared" si="151"/>
        <v>27763.9</v>
      </c>
      <c r="BN144" s="141">
        <f t="shared" si="152"/>
        <v>23851.91</v>
      </c>
      <c r="BQ144" s="141">
        <f t="shared" si="153"/>
        <v>42444.76</v>
      </c>
      <c r="BS144" s="141">
        <f t="shared" si="154"/>
        <v>46158.78</v>
      </c>
      <c r="BU144" s="141">
        <f t="shared" si="155"/>
        <v>39091.67</v>
      </c>
      <c r="BY144" s="178"/>
      <c r="BZ144" s="178"/>
    </row>
    <row r="145" spans="1:256" ht="15.75">
      <c r="A145" s="118" t="s">
        <v>387</v>
      </c>
      <c r="B145" s="322" t="s">
        <v>503</v>
      </c>
      <c r="C145" s="109" t="s">
        <v>410</v>
      </c>
      <c r="D145" s="141">
        <f t="shared" si="127"/>
        <v>31250.82</v>
      </c>
      <c r="E145" s="114">
        <v>259</v>
      </c>
      <c r="F145" s="141">
        <f t="shared" si="128"/>
        <v>38535.26</v>
      </c>
      <c r="G145" s="114">
        <v>337</v>
      </c>
      <c r="H145" s="141">
        <f t="shared" si="129"/>
        <v>36779.949999999997</v>
      </c>
      <c r="I145" s="114">
        <v>80</v>
      </c>
      <c r="J145" s="142">
        <f>ROUND((D145*E145+F145*G145+H145*I145),2)</f>
        <v>24022741</v>
      </c>
      <c r="K145" s="141">
        <f t="shared" si="130"/>
        <v>35546.49</v>
      </c>
      <c r="L145" s="111"/>
      <c r="M145" s="141">
        <f t="shared" si="131"/>
        <v>43923.6</v>
      </c>
      <c r="N145" s="111"/>
      <c r="O145" s="141">
        <f t="shared" si="132"/>
        <v>41904.99</v>
      </c>
      <c r="P145" s="111"/>
      <c r="Q145" s="142">
        <f>ROUND((K145*L145+M145*N145+O145*P145),2)</f>
        <v>0</v>
      </c>
      <c r="R145" s="141">
        <f t="shared" si="133"/>
        <v>41274.050000000003</v>
      </c>
      <c r="S145" s="111"/>
      <c r="T145" s="141">
        <f t="shared" si="134"/>
        <v>51108.05</v>
      </c>
      <c r="U145" s="111"/>
      <c r="V145" s="141">
        <f t="shared" si="135"/>
        <v>48738.38</v>
      </c>
      <c r="W145" s="111"/>
      <c r="X145" s="142">
        <f>ROUND((R145*S145+T145*U145+V145*W145),2)</f>
        <v>0</v>
      </c>
      <c r="Y145" s="141">
        <f t="shared" si="136"/>
        <v>45569.73</v>
      </c>
      <c r="Z145" s="111"/>
      <c r="AA145" s="141">
        <f t="shared" si="137"/>
        <v>56496.39</v>
      </c>
      <c r="AB145" s="111"/>
      <c r="AC145" s="142">
        <f>ROUND((Y145*Z145+AA145*AB145),2)</f>
        <v>0</v>
      </c>
      <c r="AD145" s="141">
        <f t="shared" si="138"/>
        <v>54161.08</v>
      </c>
      <c r="AE145" s="113"/>
      <c r="AF145" s="141">
        <f t="shared" si="139"/>
        <v>67273.070000000007</v>
      </c>
      <c r="AG145" s="113">
        <v>3</v>
      </c>
      <c r="AH145" s="141">
        <f t="shared" si="140"/>
        <v>64113.51</v>
      </c>
      <c r="AI145" s="113">
        <v>0</v>
      </c>
      <c r="AJ145" s="142">
        <f>ROUND((AD145*AE145+AF145*AG145+AH145*AI145),2)</f>
        <v>201819.21</v>
      </c>
      <c r="AK145" s="141">
        <f t="shared" si="141"/>
        <v>29360.82</v>
      </c>
      <c r="AL145" s="113"/>
      <c r="AM145" s="141">
        <f t="shared" si="142"/>
        <v>36645.26</v>
      </c>
      <c r="AN145" s="113"/>
      <c r="AO145" s="141">
        <f t="shared" si="143"/>
        <v>34889.949999999997</v>
      </c>
      <c r="AP145" s="113"/>
      <c r="AQ145" s="142">
        <f>ROUND((AK145*AL145+AM145*AN145+AO145*AP145),2)</f>
        <v>0</v>
      </c>
      <c r="AR145" s="141">
        <f t="shared" si="144"/>
        <v>35718.379999999997</v>
      </c>
      <c r="AS145" s="114"/>
      <c r="AT145" s="142">
        <f>ROUND((AR145*AS145),2)</f>
        <v>0</v>
      </c>
      <c r="AU145" s="143">
        <f>AT145+AQ145+AJ145+AC145+X145+Q145+J145</f>
        <v>24224560.210000001</v>
      </c>
      <c r="AV145" s="115"/>
      <c r="AW145" s="141">
        <f t="shared" si="145"/>
        <v>65258.22</v>
      </c>
      <c r="AX145" s="113"/>
      <c r="AY145" s="141">
        <f t="shared" si="146"/>
        <v>81192.94</v>
      </c>
      <c r="AZ145" s="113"/>
      <c r="BA145" s="141">
        <f t="shared" si="147"/>
        <v>77353.2</v>
      </c>
      <c r="BB145" s="113"/>
      <c r="BC145" s="142">
        <f>ROUND((AW145*AX145+AY145*AZ145+BA145*BB145),2)</f>
        <v>0</v>
      </c>
      <c r="BD145" s="141">
        <f t="shared" si="148"/>
        <v>77787.27</v>
      </c>
      <c r="BE145" s="111"/>
      <c r="BF145" s="141">
        <f t="shared" si="149"/>
        <v>96908.93</v>
      </c>
      <c r="BG145" s="111"/>
      <c r="BH145" s="142">
        <f>ROUND((BD145*BE145+BF145*BG145),2)</f>
        <v>0</v>
      </c>
      <c r="BI145" s="144">
        <f>BH145+BC145</f>
        <v>0</v>
      </c>
      <c r="BJ145" s="141">
        <f t="shared" si="150"/>
        <v>25708.01</v>
      </c>
      <c r="BK145" s="111">
        <v>0</v>
      </c>
      <c r="BL145" s="141">
        <f t="shared" si="151"/>
        <v>27763.9</v>
      </c>
      <c r="BM145" s="111">
        <v>0</v>
      </c>
      <c r="BN145" s="141">
        <f t="shared" si="152"/>
        <v>23851.91</v>
      </c>
      <c r="BO145" s="111">
        <v>0</v>
      </c>
      <c r="BP145" s="142">
        <f>ROUND((BJ145*BK145+BL145*BM145+BN145*BO145),2)</f>
        <v>0</v>
      </c>
      <c r="BQ145" s="141">
        <f t="shared" si="153"/>
        <v>42444.76</v>
      </c>
      <c r="BR145" s="111"/>
      <c r="BS145" s="141">
        <f t="shared" si="154"/>
        <v>46158.78</v>
      </c>
      <c r="BT145" s="111"/>
      <c r="BU145" s="141">
        <f t="shared" si="155"/>
        <v>39091.67</v>
      </c>
      <c r="BV145" s="111"/>
      <c r="BW145" s="142">
        <f>ROUND((BQ145*BR145+BS145*BT145+BU145*BV145),2)</f>
        <v>0</v>
      </c>
      <c r="BX145" s="222">
        <f>BV145+BT145+BR145+BO145+BM145+BK145+BG145+BE145+BB145+AZ145+AX145+AS145+AP145+AN145+AL145+AI145+AG145+AE145+AB145+Z145+W145+U145+S145+P145+N145+L145+I145+G145+E145</f>
        <v>679</v>
      </c>
      <c r="BY145" s="288"/>
      <c r="BZ145" s="288"/>
      <c r="CA145" s="323"/>
      <c r="CB145" s="323"/>
      <c r="CC145" s="323"/>
      <c r="CD145" s="323"/>
      <c r="CE145" s="323"/>
      <c r="CF145" s="323"/>
      <c r="CG145" s="323"/>
      <c r="CH145" s="323"/>
      <c r="CI145" s="323"/>
      <c r="CJ145" s="323"/>
      <c r="CK145" s="323"/>
      <c r="CL145" s="323"/>
      <c r="CM145" s="323"/>
      <c r="CN145" s="323"/>
      <c r="CO145" s="323"/>
      <c r="CP145" s="323"/>
      <c r="CQ145" s="323"/>
      <c r="CR145" s="323"/>
      <c r="CS145" s="323"/>
      <c r="CT145" s="323"/>
      <c r="CU145" s="323"/>
      <c r="CV145" s="323"/>
      <c r="CW145" s="323"/>
      <c r="CX145" s="323"/>
      <c r="CY145" s="323"/>
      <c r="CZ145" s="323"/>
      <c r="DA145" s="323"/>
      <c r="DB145" s="323"/>
      <c r="DC145" s="323"/>
      <c r="DD145" s="323"/>
      <c r="DE145" s="323"/>
      <c r="DF145" s="323"/>
      <c r="DG145" s="323"/>
      <c r="DH145" s="323"/>
      <c r="DI145" s="323"/>
      <c r="DJ145" s="323"/>
      <c r="DK145" s="323"/>
      <c r="DL145" s="323"/>
      <c r="DM145" s="323"/>
      <c r="DN145" s="323"/>
      <c r="DO145" s="323"/>
      <c r="DP145" s="323"/>
      <c r="DQ145" s="323"/>
      <c r="DR145" s="323"/>
      <c r="DS145" s="323"/>
      <c r="DT145" s="323"/>
      <c r="DU145" s="323"/>
      <c r="DV145" s="323"/>
      <c r="DW145" s="323"/>
      <c r="DX145" s="323"/>
      <c r="DY145" s="323"/>
      <c r="DZ145" s="323"/>
      <c r="EA145" s="323"/>
      <c r="EB145" s="323"/>
      <c r="EC145" s="323"/>
      <c r="ED145" s="323"/>
      <c r="EE145" s="323"/>
      <c r="EF145" s="323"/>
      <c r="EG145" s="323"/>
      <c r="EH145" s="323"/>
      <c r="EI145" s="323"/>
      <c r="EJ145" s="323"/>
      <c r="EK145" s="323"/>
      <c r="EL145" s="323"/>
      <c r="EM145" s="323"/>
      <c r="EN145" s="323"/>
      <c r="EO145" s="323"/>
      <c r="EP145" s="323"/>
      <c r="EQ145" s="323"/>
      <c r="ER145" s="323"/>
      <c r="ES145" s="323"/>
      <c r="ET145" s="323"/>
      <c r="EU145" s="323"/>
      <c r="EV145" s="323"/>
      <c r="EW145" s="323"/>
      <c r="EX145" s="323"/>
      <c r="EY145" s="323"/>
      <c r="EZ145" s="323"/>
      <c r="FA145" s="323"/>
      <c r="FB145" s="323"/>
      <c r="FC145" s="323"/>
      <c r="FD145" s="323"/>
      <c r="FE145" s="323"/>
      <c r="FF145" s="323"/>
      <c r="FG145" s="323"/>
      <c r="FH145" s="323"/>
      <c r="FI145" s="323"/>
      <c r="FJ145" s="323"/>
      <c r="FK145" s="323"/>
      <c r="FL145" s="323"/>
      <c r="FM145" s="323"/>
      <c r="FN145" s="323"/>
      <c r="FO145" s="323"/>
      <c r="FP145" s="323"/>
      <c r="FQ145" s="323"/>
      <c r="FR145" s="323"/>
      <c r="FS145" s="323"/>
      <c r="FT145" s="323"/>
      <c r="FU145" s="323"/>
      <c r="FV145" s="323"/>
      <c r="FW145" s="323"/>
      <c r="FX145" s="323"/>
      <c r="FY145" s="323"/>
      <c r="FZ145" s="323"/>
      <c r="GA145" s="323"/>
      <c r="GB145" s="323"/>
      <c r="GC145" s="323"/>
      <c r="GD145" s="323"/>
      <c r="GE145" s="323"/>
      <c r="GF145" s="323"/>
      <c r="GG145" s="323"/>
      <c r="GH145" s="323"/>
      <c r="GI145" s="323"/>
      <c r="GJ145" s="323"/>
      <c r="GK145" s="323"/>
      <c r="GL145" s="323"/>
      <c r="GM145" s="323"/>
      <c r="GN145" s="323"/>
      <c r="GO145" s="323"/>
      <c r="GP145" s="323"/>
      <c r="GQ145" s="323"/>
      <c r="GR145" s="323"/>
      <c r="GS145" s="323"/>
      <c r="GT145" s="323"/>
      <c r="GU145" s="323"/>
      <c r="GV145" s="323"/>
      <c r="GW145" s="323"/>
      <c r="GX145" s="323"/>
      <c r="GY145" s="323"/>
      <c r="GZ145" s="323"/>
      <c r="HA145" s="323"/>
      <c r="HB145" s="323"/>
      <c r="HC145" s="323"/>
      <c r="HD145" s="323"/>
      <c r="HE145" s="323"/>
      <c r="HF145" s="323"/>
      <c r="HG145" s="323"/>
      <c r="HH145" s="323"/>
      <c r="HI145" s="323"/>
      <c r="HJ145" s="323"/>
      <c r="HK145" s="323"/>
      <c r="HL145" s="323"/>
      <c r="HM145" s="323"/>
      <c r="HN145" s="323"/>
      <c r="HO145" s="323"/>
      <c r="HP145" s="323"/>
      <c r="HQ145" s="323"/>
      <c r="HR145" s="323"/>
      <c r="HS145" s="323"/>
      <c r="HT145" s="323"/>
      <c r="HU145" s="323"/>
      <c r="HV145" s="323"/>
      <c r="HW145" s="323"/>
      <c r="HX145" s="323"/>
      <c r="HY145" s="323"/>
      <c r="HZ145" s="323"/>
      <c r="IA145" s="323"/>
      <c r="IB145" s="323"/>
      <c r="IC145" s="323"/>
      <c r="ID145" s="323"/>
      <c r="IE145" s="323"/>
      <c r="IF145" s="323"/>
      <c r="IG145" s="323"/>
      <c r="IH145" s="323"/>
      <c r="II145" s="323"/>
      <c r="IJ145" s="323"/>
      <c r="IK145" s="323"/>
      <c r="IL145" s="323"/>
      <c r="IM145" s="323"/>
      <c r="IN145" s="323"/>
      <c r="IO145" s="323"/>
      <c r="IP145" s="323"/>
      <c r="IQ145" s="323"/>
      <c r="IR145" s="323"/>
      <c r="IS145" s="323"/>
      <c r="IT145" s="323"/>
      <c r="IU145" s="323"/>
    </row>
    <row r="146" spans="1:256" ht="31.5">
      <c r="A146" s="122" t="s">
        <v>389</v>
      </c>
      <c r="B146" s="324" t="s">
        <v>504</v>
      </c>
      <c r="C146" s="109"/>
      <c r="D146" s="141">
        <f t="shared" si="127"/>
        <v>31250.82</v>
      </c>
      <c r="E146" s="114">
        <v>46</v>
      </c>
      <c r="F146" s="141">
        <f t="shared" si="128"/>
        <v>38535.26</v>
      </c>
      <c r="G146" s="114">
        <v>50</v>
      </c>
      <c r="H146" s="141">
        <f t="shared" si="129"/>
        <v>36779.949999999997</v>
      </c>
      <c r="I146" s="114">
        <v>0</v>
      </c>
      <c r="J146" s="142">
        <f>ROUND((D146*E146+F146*G146+H146*I146),2)</f>
        <v>3364300.72</v>
      </c>
      <c r="K146" s="141">
        <f t="shared" si="130"/>
        <v>35546.49</v>
      </c>
      <c r="L146" s="114"/>
      <c r="M146" s="141">
        <f t="shared" si="131"/>
        <v>43923.6</v>
      </c>
      <c r="N146" s="114"/>
      <c r="O146" s="141">
        <f t="shared" si="132"/>
        <v>41904.99</v>
      </c>
      <c r="P146" s="119"/>
      <c r="Q146" s="142">
        <f>ROUND((K146*L146+M146*N146+O146*P146),2)</f>
        <v>0</v>
      </c>
      <c r="R146" s="141">
        <f t="shared" si="133"/>
        <v>41274.050000000003</v>
      </c>
      <c r="S146" s="119"/>
      <c r="T146" s="141">
        <f t="shared" si="134"/>
        <v>51108.05</v>
      </c>
      <c r="U146" s="119"/>
      <c r="V146" s="141">
        <f t="shared" si="135"/>
        <v>48738.38</v>
      </c>
      <c r="W146" s="119"/>
      <c r="X146" s="142">
        <f>ROUND((R146*S146+T146*U146+V146*W146),2)</f>
        <v>0</v>
      </c>
      <c r="Y146" s="141">
        <f t="shared" si="136"/>
        <v>45569.73</v>
      </c>
      <c r="Z146" s="119"/>
      <c r="AA146" s="141">
        <f t="shared" si="137"/>
        <v>56496.39</v>
      </c>
      <c r="AB146" s="119"/>
      <c r="AC146" s="142">
        <f>ROUND((Y146*Z146+AA146*AB146),2)</f>
        <v>0</v>
      </c>
      <c r="AD146" s="141">
        <f t="shared" si="138"/>
        <v>54161.08</v>
      </c>
      <c r="AE146" s="120">
        <v>0</v>
      </c>
      <c r="AF146" s="141">
        <f t="shared" si="139"/>
        <v>67273.070000000007</v>
      </c>
      <c r="AG146" s="120"/>
      <c r="AH146" s="141">
        <f t="shared" si="140"/>
        <v>64113.51</v>
      </c>
      <c r="AI146" s="120">
        <v>0</v>
      </c>
      <c r="AJ146" s="142">
        <f>ROUND((AD146*AE146+AF146*AG146+AH146*AI146),2)</f>
        <v>0</v>
      </c>
      <c r="AK146" s="141">
        <f t="shared" si="141"/>
        <v>29360.82</v>
      </c>
      <c r="AL146" s="120"/>
      <c r="AM146" s="141">
        <f t="shared" si="142"/>
        <v>36645.26</v>
      </c>
      <c r="AN146" s="120"/>
      <c r="AO146" s="141">
        <f t="shared" si="143"/>
        <v>34889.949999999997</v>
      </c>
      <c r="AP146" s="120"/>
      <c r="AQ146" s="142">
        <f>ROUND((AK146*AL146+AM146*AN146+AO146*AP146),2)</f>
        <v>0</v>
      </c>
      <c r="AR146" s="141">
        <f t="shared" si="144"/>
        <v>35718.379999999997</v>
      </c>
      <c r="AS146" s="114"/>
      <c r="AT146" s="142">
        <f>ROUND((AR146*AS146),2)</f>
        <v>0</v>
      </c>
      <c r="AU146" s="143">
        <f>AT146+AQ146+AJ146+AC146+X146+Q146+J146</f>
        <v>3364300.72</v>
      </c>
      <c r="AV146" s="120"/>
      <c r="AW146" s="141">
        <f t="shared" si="145"/>
        <v>65258.22</v>
      </c>
      <c r="AX146" s="121"/>
      <c r="AY146" s="141">
        <f t="shared" si="146"/>
        <v>81192.94</v>
      </c>
      <c r="AZ146" s="121"/>
      <c r="BA146" s="141">
        <f t="shared" si="147"/>
        <v>77353.2</v>
      </c>
      <c r="BB146" s="119"/>
      <c r="BC146" s="142">
        <f>ROUND((AW146*AX146+AY146*AZ146+BA146*BB146),2)</f>
        <v>0</v>
      </c>
      <c r="BD146" s="141">
        <f t="shared" si="148"/>
        <v>77787.27</v>
      </c>
      <c r="BE146" s="119"/>
      <c r="BF146" s="141">
        <f t="shared" si="149"/>
        <v>96908.93</v>
      </c>
      <c r="BG146" s="119"/>
      <c r="BH146" s="142">
        <f>ROUND((BD146*BE146+BF146*BG146),2)</f>
        <v>0</v>
      </c>
      <c r="BI146" s="144">
        <f>BH146+BC146</f>
        <v>0</v>
      </c>
      <c r="BJ146" s="141">
        <f t="shared" si="150"/>
        <v>25708.01</v>
      </c>
      <c r="BK146" s="119">
        <v>0</v>
      </c>
      <c r="BL146" s="141">
        <f t="shared" si="151"/>
        <v>27763.9</v>
      </c>
      <c r="BM146" s="119">
        <v>0</v>
      </c>
      <c r="BN146" s="141">
        <f t="shared" si="152"/>
        <v>23851.91</v>
      </c>
      <c r="BO146" s="119">
        <v>0</v>
      </c>
      <c r="BP146" s="142">
        <f>ROUND((BJ146*BK146+BL146*BM146+BN146*BO146),2)</f>
        <v>0</v>
      </c>
      <c r="BQ146" s="141">
        <f t="shared" si="153"/>
        <v>42444.76</v>
      </c>
      <c r="BR146" s="119"/>
      <c r="BS146" s="141">
        <f t="shared" si="154"/>
        <v>46158.78</v>
      </c>
      <c r="BT146" s="119"/>
      <c r="BU146" s="141">
        <f t="shared" si="155"/>
        <v>39091.67</v>
      </c>
      <c r="BV146" s="119"/>
      <c r="BW146" s="142">
        <f>ROUND((BQ146*BR146+BS146*BT146+BU146*BV146),2)</f>
        <v>0</v>
      </c>
      <c r="BX146" s="222">
        <f>BV146+BT146+BR146+BO146+BM146+BK146+BG146+BE146+BB146+AZ146+AX146+AS146+AP146+AN146+AL146+AI146+AG146+AE146+AB146+Z146+W146+U146+S146+P146+N146+L146+I146+G146+E146</f>
        <v>96</v>
      </c>
      <c r="BY146" s="288"/>
      <c r="BZ146" s="288"/>
      <c r="CA146" s="323"/>
      <c r="CB146" s="323"/>
      <c r="CC146" s="323"/>
      <c r="CD146" s="323"/>
      <c r="CE146" s="323"/>
      <c r="CF146" s="323"/>
      <c r="CG146" s="323"/>
      <c r="CH146" s="323"/>
      <c r="CI146" s="323"/>
      <c r="CJ146" s="323"/>
      <c r="CK146" s="323"/>
      <c r="CL146" s="323"/>
      <c r="CM146" s="323"/>
      <c r="CN146" s="323"/>
      <c r="CO146" s="323"/>
      <c r="CP146" s="323"/>
      <c r="CQ146" s="323"/>
      <c r="CR146" s="323"/>
      <c r="CS146" s="323"/>
      <c r="CT146" s="323"/>
      <c r="CU146" s="323"/>
      <c r="CV146" s="323"/>
      <c r="CW146" s="323"/>
      <c r="CX146" s="323"/>
      <c r="CY146" s="323"/>
      <c r="CZ146" s="323"/>
      <c r="DA146" s="323"/>
      <c r="DB146" s="323"/>
      <c r="DC146" s="323"/>
      <c r="DD146" s="323"/>
      <c r="DE146" s="323"/>
      <c r="DF146" s="323"/>
      <c r="DG146" s="323"/>
      <c r="DH146" s="323"/>
      <c r="DI146" s="323"/>
      <c r="DJ146" s="323"/>
      <c r="DK146" s="323"/>
      <c r="DL146" s="323"/>
      <c r="DM146" s="323"/>
      <c r="DN146" s="323"/>
      <c r="DO146" s="323"/>
      <c r="DP146" s="323"/>
      <c r="DQ146" s="323"/>
      <c r="DR146" s="323"/>
      <c r="DS146" s="323"/>
      <c r="DT146" s="323"/>
      <c r="DU146" s="323"/>
      <c r="DV146" s="323"/>
      <c r="DW146" s="323"/>
      <c r="DX146" s="323"/>
      <c r="DY146" s="323"/>
      <c r="DZ146" s="323"/>
      <c r="EA146" s="323"/>
      <c r="EB146" s="323"/>
      <c r="EC146" s="323"/>
      <c r="ED146" s="323"/>
      <c r="EE146" s="323"/>
      <c r="EF146" s="323"/>
      <c r="EG146" s="323"/>
      <c r="EH146" s="323"/>
      <c r="EI146" s="323"/>
      <c r="EJ146" s="323"/>
      <c r="EK146" s="323"/>
      <c r="EL146" s="323"/>
      <c r="EM146" s="323"/>
      <c r="EN146" s="323"/>
      <c r="EO146" s="323"/>
      <c r="EP146" s="323"/>
      <c r="EQ146" s="323"/>
      <c r="ER146" s="323"/>
      <c r="ES146" s="323"/>
      <c r="ET146" s="323"/>
      <c r="EU146" s="323"/>
      <c r="EV146" s="323"/>
      <c r="EW146" s="323"/>
      <c r="EX146" s="323"/>
      <c r="EY146" s="323"/>
      <c r="EZ146" s="323"/>
      <c r="FA146" s="323"/>
      <c r="FB146" s="323"/>
      <c r="FC146" s="323"/>
      <c r="FD146" s="323"/>
      <c r="FE146" s="323"/>
      <c r="FF146" s="323"/>
      <c r="FG146" s="323"/>
      <c r="FH146" s="323"/>
      <c r="FI146" s="323"/>
      <c r="FJ146" s="323"/>
      <c r="FK146" s="323"/>
      <c r="FL146" s="323"/>
      <c r="FM146" s="323"/>
      <c r="FN146" s="323"/>
      <c r="FO146" s="323"/>
      <c r="FP146" s="323"/>
      <c r="FQ146" s="323"/>
      <c r="FR146" s="323"/>
      <c r="FS146" s="323"/>
      <c r="FT146" s="323"/>
      <c r="FU146" s="323"/>
      <c r="FV146" s="323"/>
      <c r="FW146" s="323"/>
      <c r="FX146" s="323"/>
      <c r="FY146" s="323"/>
      <c r="FZ146" s="323"/>
      <c r="GA146" s="323"/>
      <c r="GB146" s="323"/>
      <c r="GC146" s="323"/>
      <c r="GD146" s="323"/>
      <c r="GE146" s="323"/>
      <c r="GF146" s="323"/>
      <c r="GG146" s="323"/>
      <c r="GH146" s="323"/>
      <c r="GI146" s="323"/>
      <c r="GJ146" s="323"/>
      <c r="GK146" s="323"/>
      <c r="GL146" s="323"/>
      <c r="GM146" s="323"/>
      <c r="GN146" s="323"/>
      <c r="GO146" s="323"/>
      <c r="GP146" s="323"/>
      <c r="GQ146" s="323"/>
      <c r="GR146" s="323"/>
      <c r="GS146" s="323"/>
      <c r="GT146" s="323"/>
      <c r="GU146" s="323"/>
      <c r="GV146" s="323"/>
      <c r="GW146" s="323"/>
      <c r="GX146" s="323"/>
      <c r="GY146" s="323"/>
      <c r="GZ146" s="323"/>
      <c r="HA146" s="323"/>
      <c r="HB146" s="323"/>
      <c r="HC146" s="323"/>
      <c r="HD146" s="323"/>
      <c r="HE146" s="323"/>
      <c r="HF146" s="323"/>
      <c r="HG146" s="323"/>
      <c r="HH146" s="323"/>
      <c r="HI146" s="323"/>
      <c r="HJ146" s="323"/>
      <c r="HK146" s="323"/>
      <c r="HL146" s="323"/>
      <c r="HM146" s="323"/>
      <c r="HN146" s="323"/>
      <c r="HO146" s="323"/>
      <c r="HP146" s="323"/>
      <c r="HQ146" s="323"/>
      <c r="HR146" s="323"/>
      <c r="HS146" s="323"/>
      <c r="HT146" s="323"/>
      <c r="HU146" s="323"/>
      <c r="HV146" s="323"/>
      <c r="HW146" s="323"/>
      <c r="HX146" s="323"/>
      <c r="HY146" s="323"/>
      <c r="HZ146" s="323"/>
      <c r="IA146" s="323"/>
      <c r="IB146" s="323"/>
      <c r="IC146" s="323"/>
      <c r="ID146" s="323"/>
      <c r="IE146" s="323"/>
      <c r="IF146" s="323"/>
      <c r="IG146" s="323"/>
      <c r="IH146" s="323"/>
      <c r="II146" s="323"/>
      <c r="IJ146" s="323"/>
      <c r="IK146" s="323"/>
      <c r="IL146" s="323"/>
      <c r="IM146" s="323"/>
      <c r="IN146" s="323"/>
      <c r="IO146" s="323"/>
      <c r="IP146" s="323"/>
      <c r="IQ146" s="323"/>
      <c r="IR146" s="323"/>
      <c r="IS146" s="323"/>
      <c r="IT146" s="323"/>
      <c r="IU146" s="323"/>
    </row>
    <row r="147" spans="1:256" ht="16.5" thickBot="1">
      <c r="A147" s="151"/>
      <c r="B147" s="325" t="s">
        <v>505</v>
      </c>
      <c r="C147" s="326"/>
      <c r="D147" s="141">
        <f t="shared" si="127"/>
        <v>31250.82</v>
      </c>
      <c r="E147" s="155">
        <f>SUM(E145:E146)</f>
        <v>305</v>
      </c>
      <c r="F147" s="141">
        <f t="shared" si="128"/>
        <v>38535.26</v>
      </c>
      <c r="G147" s="155">
        <f>SUM(G145:G146)</f>
        <v>387</v>
      </c>
      <c r="H147" s="141">
        <f t="shared" si="129"/>
        <v>36779.949999999997</v>
      </c>
      <c r="I147" s="155">
        <f>SUM(I145:I146)</f>
        <v>80</v>
      </c>
      <c r="J147" s="327">
        <f>SUM(J145:J146)</f>
        <v>27387041.719999999</v>
      </c>
      <c r="K147" s="141">
        <f t="shared" si="130"/>
        <v>35546.49</v>
      </c>
      <c r="L147" s="155">
        <f>SUM(L145:L146)</f>
        <v>0</v>
      </c>
      <c r="M147" s="141">
        <f t="shared" si="131"/>
        <v>43923.6</v>
      </c>
      <c r="N147" s="155">
        <f>SUM(N145:N146)</f>
        <v>0</v>
      </c>
      <c r="O147" s="141">
        <f t="shared" si="132"/>
        <v>41904.99</v>
      </c>
      <c r="P147" s="155">
        <f>SUM(P145:P146)</f>
        <v>0</v>
      </c>
      <c r="Q147" s="327">
        <f>SUM(Q145:Q146)</f>
        <v>0</v>
      </c>
      <c r="R147" s="141">
        <f t="shared" si="133"/>
        <v>41274.050000000003</v>
      </c>
      <c r="S147" s="155">
        <f>SUM(S145:S146)</f>
        <v>0</v>
      </c>
      <c r="T147" s="141">
        <f t="shared" si="134"/>
        <v>51108.05</v>
      </c>
      <c r="U147" s="155">
        <f>SUM(U145:U146)</f>
        <v>0</v>
      </c>
      <c r="V147" s="141">
        <f t="shared" si="135"/>
        <v>48738.38</v>
      </c>
      <c r="W147" s="155">
        <f>SUM(W145:W146)</f>
        <v>0</v>
      </c>
      <c r="X147" s="327">
        <f>SUM(X145:X146)</f>
        <v>0</v>
      </c>
      <c r="Y147" s="141">
        <f t="shared" si="136"/>
        <v>45569.73</v>
      </c>
      <c r="Z147" s="155">
        <f>SUM(Z145:Z146)</f>
        <v>0</v>
      </c>
      <c r="AA147" s="141">
        <f t="shared" si="137"/>
        <v>56496.39</v>
      </c>
      <c r="AB147" s="155">
        <f>SUM(AB145:AB146)</f>
        <v>0</v>
      </c>
      <c r="AC147" s="327">
        <f>SUM(AC145:AC146)</f>
        <v>0</v>
      </c>
      <c r="AD147" s="141">
        <f t="shared" si="138"/>
        <v>54161.08</v>
      </c>
      <c r="AE147" s="155">
        <f>SUM(AE145:AE146)</f>
        <v>0</v>
      </c>
      <c r="AF147" s="141">
        <f t="shared" si="139"/>
        <v>67273.070000000007</v>
      </c>
      <c r="AG147" s="155">
        <f>SUM(AG145:AG146)</f>
        <v>3</v>
      </c>
      <c r="AH147" s="141">
        <f t="shared" si="140"/>
        <v>64113.51</v>
      </c>
      <c r="AI147" s="155">
        <f>SUM(AI145:AI146)</f>
        <v>0</v>
      </c>
      <c r="AJ147" s="327">
        <f>SUM(AJ145:AJ146)</f>
        <v>201819.21</v>
      </c>
      <c r="AK147" s="141">
        <f t="shared" si="141"/>
        <v>29360.82</v>
      </c>
      <c r="AL147" s="155">
        <f>SUM(AL145:AL146)</f>
        <v>0</v>
      </c>
      <c r="AM147" s="141">
        <f t="shared" si="142"/>
        <v>36645.26</v>
      </c>
      <c r="AN147" s="155">
        <f>SUM(AN145:AN146)</f>
        <v>0</v>
      </c>
      <c r="AO147" s="141">
        <f t="shared" si="143"/>
        <v>34889.949999999997</v>
      </c>
      <c r="AP147" s="155">
        <f>SUM(AP145:AP146)</f>
        <v>0</v>
      </c>
      <c r="AQ147" s="327">
        <f>SUM(AQ145:AQ146)</f>
        <v>0</v>
      </c>
      <c r="AR147" s="141">
        <f t="shared" si="144"/>
        <v>35718.379999999997</v>
      </c>
      <c r="AS147" s="155">
        <f>SUM(AS145:AS146)</f>
        <v>0</v>
      </c>
      <c r="AT147" s="327">
        <f>SUM(AT145:AT146)</f>
        <v>0</v>
      </c>
      <c r="AU147" s="763">
        <f>SUM(AU145:AU146)</f>
        <v>27588860.93</v>
      </c>
      <c r="AV147" s="327"/>
      <c r="AW147" s="141">
        <f t="shared" si="145"/>
        <v>65258.22</v>
      </c>
      <c r="AX147" s="155">
        <f>SUM(AX145:AX146)</f>
        <v>0</v>
      </c>
      <c r="AY147" s="141">
        <f t="shared" si="146"/>
        <v>81192.94</v>
      </c>
      <c r="AZ147" s="155">
        <f>SUM(AZ145:AZ146)</f>
        <v>0</v>
      </c>
      <c r="BA147" s="141">
        <f t="shared" si="147"/>
        <v>77353.2</v>
      </c>
      <c r="BB147" s="155">
        <f>SUM(BB145:BB146)</f>
        <v>0</v>
      </c>
      <c r="BC147" s="327">
        <f>SUM(BC145:BC146)</f>
        <v>0</v>
      </c>
      <c r="BD147" s="141">
        <f t="shared" si="148"/>
        <v>77787.27</v>
      </c>
      <c r="BE147" s="155">
        <f>SUM(BE145:BE146)</f>
        <v>0</v>
      </c>
      <c r="BF147" s="141">
        <f t="shared" si="149"/>
        <v>96908.93</v>
      </c>
      <c r="BG147" s="155">
        <f>SUM(BG145:BG146)</f>
        <v>0</v>
      </c>
      <c r="BH147" s="327">
        <f>SUM(BH145:BH146)</f>
        <v>0</v>
      </c>
      <c r="BI147" s="327">
        <f>SUM(BI145:BI146)</f>
        <v>0</v>
      </c>
      <c r="BJ147" s="141">
        <f t="shared" si="150"/>
        <v>25708.01</v>
      </c>
      <c r="BK147" s="155">
        <f>SUM(BK145:BK146)</f>
        <v>0</v>
      </c>
      <c r="BL147" s="141">
        <f t="shared" si="151"/>
        <v>27763.9</v>
      </c>
      <c r="BM147" s="155">
        <f>SUM(BM145:BM146)</f>
        <v>0</v>
      </c>
      <c r="BN147" s="141">
        <f t="shared" si="152"/>
        <v>23851.91</v>
      </c>
      <c r="BO147" s="155">
        <f>SUM(BO145:BO146)</f>
        <v>0</v>
      </c>
      <c r="BP147" s="327">
        <f>SUM(BP145:BP146)</f>
        <v>0</v>
      </c>
      <c r="BQ147" s="141">
        <f t="shared" si="153"/>
        <v>42444.76</v>
      </c>
      <c r="BR147" s="155">
        <f>SUM(BR145:BR146)</f>
        <v>0</v>
      </c>
      <c r="BS147" s="141">
        <f t="shared" si="154"/>
        <v>46158.78</v>
      </c>
      <c r="BT147" s="155">
        <f>SUM(BT145:BT146)</f>
        <v>0</v>
      </c>
      <c r="BU147" s="141">
        <f t="shared" si="155"/>
        <v>39091.67</v>
      </c>
      <c r="BV147" s="155">
        <f>SUM(BV145:BV146)</f>
        <v>0</v>
      </c>
      <c r="BW147" s="327">
        <f>SUM(BW145:BW146)</f>
        <v>0</v>
      </c>
      <c r="BX147" s="328">
        <f>SUM(BX145:BX146)</f>
        <v>775</v>
      </c>
      <c r="BY147" s="329"/>
      <c r="BZ147" s="329"/>
      <c r="CA147" s="330"/>
      <c r="CB147" s="330"/>
      <c r="CC147" s="330"/>
      <c r="CD147" s="330"/>
      <c r="CE147" s="330"/>
      <c r="CF147" s="330"/>
      <c r="CG147" s="330"/>
      <c r="CH147" s="330"/>
      <c r="CI147" s="330"/>
      <c r="CJ147" s="330"/>
      <c r="CK147" s="330"/>
      <c r="CL147" s="330"/>
      <c r="CM147" s="330"/>
      <c r="CN147" s="330"/>
      <c r="CO147" s="330"/>
      <c r="CP147" s="330"/>
      <c r="CQ147" s="330"/>
      <c r="CR147" s="330"/>
      <c r="CS147" s="330"/>
      <c r="CT147" s="330"/>
      <c r="CU147" s="330"/>
      <c r="CV147" s="330"/>
      <c r="CW147" s="330"/>
      <c r="CX147" s="330"/>
      <c r="CY147" s="330"/>
      <c r="CZ147" s="330"/>
      <c r="DA147" s="330"/>
      <c r="DB147" s="330"/>
      <c r="DC147" s="330"/>
      <c r="DD147" s="330"/>
      <c r="DE147" s="330"/>
      <c r="DF147" s="330"/>
      <c r="DG147" s="330"/>
      <c r="DH147" s="330"/>
      <c r="DI147" s="330"/>
      <c r="DJ147" s="330"/>
      <c r="DK147" s="330"/>
      <c r="DL147" s="330"/>
      <c r="DM147" s="330"/>
      <c r="DN147" s="330"/>
      <c r="DO147" s="330"/>
      <c r="DP147" s="330"/>
      <c r="DQ147" s="330"/>
      <c r="DR147" s="330"/>
      <c r="DS147" s="330"/>
      <c r="DT147" s="330"/>
      <c r="DU147" s="330"/>
      <c r="DV147" s="330"/>
      <c r="DW147" s="330"/>
      <c r="DX147" s="330"/>
      <c r="DY147" s="330"/>
      <c r="DZ147" s="330"/>
      <c r="EA147" s="330"/>
      <c r="EB147" s="330"/>
      <c r="EC147" s="330"/>
      <c r="ED147" s="330"/>
      <c r="EE147" s="330"/>
      <c r="EF147" s="330"/>
      <c r="EG147" s="330"/>
      <c r="EH147" s="330"/>
      <c r="EI147" s="330"/>
      <c r="EJ147" s="330"/>
      <c r="EK147" s="330"/>
      <c r="EL147" s="330"/>
      <c r="EM147" s="330"/>
      <c r="EN147" s="330"/>
      <c r="EO147" s="330"/>
      <c r="EP147" s="330"/>
      <c r="EQ147" s="330"/>
      <c r="ER147" s="330"/>
      <c r="ES147" s="330"/>
      <c r="ET147" s="330"/>
      <c r="EU147" s="330"/>
      <c r="EV147" s="330"/>
      <c r="EW147" s="330"/>
      <c r="EX147" s="330"/>
      <c r="EY147" s="330"/>
      <c r="EZ147" s="330"/>
      <c r="FA147" s="330"/>
      <c r="FB147" s="330"/>
      <c r="FC147" s="330"/>
      <c r="FD147" s="330"/>
      <c r="FE147" s="330"/>
      <c r="FF147" s="330"/>
      <c r="FG147" s="330"/>
      <c r="FH147" s="330"/>
      <c r="FI147" s="330"/>
      <c r="FJ147" s="330"/>
      <c r="FK147" s="330"/>
      <c r="FL147" s="330"/>
      <c r="FM147" s="330"/>
      <c r="FN147" s="330"/>
      <c r="FO147" s="330"/>
      <c r="FP147" s="330"/>
      <c r="FQ147" s="330"/>
      <c r="FR147" s="330"/>
      <c r="FS147" s="330"/>
      <c r="FT147" s="330"/>
      <c r="FU147" s="330"/>
      <c r="FV147" s="330"/>
      <c r="FW147" s="330"/>
      <c r="FX147" s="330"/>
      <c r="FY147" s="330"/>
      <c r="FZ147" s="330"/>
      <c r="GA147" s="330"/>
      <c r="GB147" s="330"/>
      <c r="GC147" s="330"/>
      <c r="GD147" s="330"/>
      <c r="GE147" s="330"/>
      <c r="GF147" s="330"/>
      <c r="GG147" s="330"/>
      <c r="GH147" s="330"/>
      <c r="GI147" s="330"/>
      <c r="GJ147" s="330"/>
      <c r="GK147" s="330"/>
      <c r="GL147" s="330"/>
      <c r="GM147" s="330"/>
      <c r="GN147" s="330"/>
      <c r="GO147" s="330"/>
      <c r="GP147" s="330"/>
      <c r="GQ147" s="330"/>
      <c r="GR147" s="330"/>
      <c r="GS147" s="330"/>
      <c r="GT147" s="330"/>
      <c r="GU147" s="330"/>
      <c r="GV147" s="330"/>
      <c r="GW147" s="330"/>
      <c r="GX147" s="330"/>
      <c r="GY147" s="330"/>
      <c r="GZ147" s="330"/>
      <c r="HA147" s="330"/>
      <c r="HB147" s="330"/>
      <c r="HC147" s="330"/>
      <c r="HD147" s="330"/>
      <c r="HE147" s="330"/>
      <c r="HF147" s="330"/>
      <c r="HG147" s="330"/>
      <c r="HH147" s="330"/>
      <c r="HI147" s="330"/>
      <c r="HJ147" s="330"/>
      <c r="HK147" s="330"/>
      <c r="HL147" s="330"/>
      <c r="HM147" s="330"/>
      <c r="HN147" s="330"/>
      <c r="HO147" s="330"/>
      <c r="HP147" s="330"/>
      <c r="HQ147" s="330"/>
      <c r="HR147" s="330"/>
      <c r="HS147" s="330"/>
      <c r="HT147" s="330"/>
      <c r="HU147" s="330"/>
      <c r="HV147" s="330"/>
      <c r="HW147" s="330"/>
      <c r="HX147" s="330"/>
      <c r="HY147" s="330"/>
      <c r="HZ147" s="330"/>
      <c r="IA147" s="330"/>
      <c r="IB147" s="330"/>
      <c r="IC147" s="330"/>
      <c r="ID147" s="330"/>
      <c r="IE147" s="330"/>
      <c r="IF147" s="330"/>
      <c r="IG147" s="330"/>
      <c r="IH147" s="330"/>
      <c r="II147" s="330"/>
      <c r="IJ147" s="330"/>
      <c r="IK147" s="330"/>
      <c r="IL147" s="330"/>
      <c r="IM147" s="330"/>
      <c r="IN147" s="330"/>
      <c r="IO147" s="330"/>
      <c r="IP147" s="330"/>
      <c r="IQ147" s="330"/>
      <c r="IR147" s="330"/>
      <c r="IS147" s="330"/>
      <c r="IT147" s="330"/>
      <c r="IU147" s="330"/>
      <c r="IV147" s="331"/>
    </row>
    <row r="148" spans="1:256" ht="17.25" thickBot="1">
      <c r="A148" s="194"/>
      <c r="B148" s="195" t="s">
        <v>506</v>
      </c>
      <c r="C148" s="195"/>
      <c r="D148" s="141">
        <f t="shared" si="127"/>
        <v>31250.82</v>
      </c>
      <c r="E148" s="163">
        <f>E147</f>
        <v>305</v>
      </c>
      <c r="F148" s="141">
        <f t="shared" si="128"/>
        <v>38535.26</v>
      </c>
      <c r="G148" s="163">
        <f t="shared" ref="G148:BO148" si="163">G147</f>
        <v>387</v>
      </c>
      <c r="H148" s="141">
        <f t="shared" si="129"/>
        <v>36779.949999999997</v>
      </c>
      <c r="I148" s="163">
        <f t="shared" si="163"/>
        <v>80</v>
      </c>
      <c r="J148" s="163">
        <f t="shared" si="163"/>
        <v>27387041.719999999</v>
      </c>
      <c r="K148" s="141">
        <f t="shared" si="130"/>
        <v>35546.49</v>
      </c>
      <c r="L148" s="163">
        <f t="shared" si="163"/>
        <v>0</v>
      </c>
      <c r="M148" s="141">
        <f t="shared" si="131"/>
        <v>43923.6</v>
      </c>
      <c r="N148" s="163">
        <f t="shared" si="163"/>
        <v>0</v>
      </c>
      <c r="O148" s="141">
        <f t="shared" si="132"/>
        <v>41904.99</v>
      </c>
      <c r="P148" s="163">
        <f t="shared" si="163"/>
        <v>0</v>
      </c>
      <c r="Q148" s="163">
        <f>Q147</f>
        <v>0</v>
      </c>
      <c r="R148" s="141">
        <f t="shared" si="133"/>
        <v>41274.050000000003</v>
      </c>
      <c r="S148" s="163">
        <f t="shared" si="163"/>
        <v>0</v>
      </c>
      <c r="T148" s="141">
        <f t="shared" si="134"/>
        <v>51108.05</v>
      </c>
      <c r="U148" s="163">
        <f t="shared" si="163"/>
        <v>0</v>
      </c>
      <c r="V148" s="141">
        <f t="shared" si="135"/>
        <v>48738.38</v>
      </c>
      <c r="W148" s="163">
        <f t="shared" si="163"/>
        <v>0</v>
      </c>
      <c r="X148" s="163">
        <f>X147</f>
        <v>0</v>
      </c>
      <c r="Y148" s="141">
        <f t="shared" si="136"/>
        <v>45569.73</v>
      </c>
      <c r="Z148" s="163">
        <f t="shared" si="163"/>
        <v>0</v>
      </c>
      <c r="AA148" s="141">
        <f t="shared" si="137"/>
        <v>56496.39</v>
      </c>
      <c r="AB148" s="163">
        <f t="shared" si="163"/>
        <v>0</v>
      </c>
      <c r="AC148" s="163">
        <f t="shared" si="163"/>
        <v>0</v>
      </c>
      <c r="AD148" s="141">
        <f t="shared" si="138"/>
        <v>54161.08</v>
      </c>
      <c r="AE148" s="163">
        <f t="shared" si="163"/>
        <v>0</v>
      </c>
      <c r="AF148" s="141">
        <f t="shared" si="139"/>
        <v>67273.070000000007</v>
      </c>
      <c r="AG148" s="163">
        <f t="shared" si="163"/>
        <v>3</v>
      </c>
      <c r="AH148" s="141">
        <f t="shared" si="140"/>
        <v>64113.51</v>
      </c>
      <c r="AI148" s="163">
        <f t="shared" si="163"/>
        <v>0</v>
      </c>
      <c r="AJ148" s="163">
        <f>AJ147</f>
        <v>201819.21</v>
      </c>
      <c r="AK148" s="141">
        <f t="shared" si="141"/>
        <v>29360.82</v>
      </c>
      <c r="AL148" s="163">
        <f t="shared" si="163"/>
        <v>0</v>
      </c>
      <c r="AM148" s="141">
        <f t="shared" si="142"/>
        <v>36645.26</v>
      </c>
      <c r="AN148" s="163">
        <f t="shared" si="163"/>
        <v>0</v>
      </c>
      <c r="AO148" s="141">
        <f t="shared" si="143"/>
        <v>34889.949999999997</v>
      </c>
      <c r="AP148" s="163">
        <f t="shared" si="163"/>
        <v>0</v>
      </c>
      <c r="AQ148" s="163">
        <f>AQ147</f>
        <v>0</v>
      </c>
      <c r="AR148" s="141">
        <f t="shared" si="144"/>
        <v>35718.379999999997</v>
      </c>
      <c r="AS148" s="163">
        <f t="shared" si="163"/>
        <v>0</v>
      </c>
      <c r="AT148" s="163">
        <f t="shared" si="163"/>
        <v>0</v>
      </c>
      <c r="AU148" s="382">
        <f t="shared" si="163"/>
        <v>27588860.93</v>
      </c>
      <c r="AV148" s="163">
        <f>'старое не смотреть'!D224</f>
        <v>33340651.5</v>
      </c>
      <c r="AW148" s="141">
        <f t="shared" si="145"/>
        <v>65258.22</v>
      </c>
      <c r="AX148" s="163">
        <f t="shared" si="163"/>
        <v>0</v>
      </c>
      <c r="AY148" s="141">
        <f t="shared" si="146"/>
        <v>81192.94</v>
      </c>
      <c r="AZ148" s="163">
        <f t="shared" si="163"/>
        <v>0</v>
      </c>
      <c r="BA148" s="141">
        <f t="shared" si="147"/>
        <v>77353.2</v>
      </c>
      <c r="BB148" s="163">
        <f t="shared" si="163"/>
        <v>0</v>
      </c>
      <c r="BC148" s="163">
        <f>BC147</f>
        <v>0</v>
      </c>
      <c r="BD148" s="141">
        <f t="shared" si="148"/>
        <v>77787.27</v>
      </c>
      <c r="BE148" s="163">
        <f t="shared" si="163"/>
        <v>0</v>
      </c>
      <c r="BF148" s="141">
        <f t="shared" si="149"/>
        <v>96908.93</v>
      </c>
      <c r="BG148" s="163">
        <f t="shared" si="163"/>
        <v>0</v>
      </c>
      <c r="BH148" s="163">
        <f t="shared" si="163"/>
        <v>0</v>
      </c>
      <c r="BI148" s="163">
        <f t="shared" si="163"/>
        <v>0</v>
      </c>
      <c r="BJ148" s="141">
        <f t="shared" si="150"/>
        <v>25708.01</v>
      </c>
      <c r="BK148" s="163">
        <f t="shared" si="163"/>
        <v>0</v>
      </c>
      <c r="BL148" s="141">
        <f t="shared" si="151"/>
        <v>27763.9</v>
      </c>
      <c r="BM148" s="163">
        <f t="shared" si="163"/>
        <v>0</v>
      </c>
      <c r="BN148" s="141">
        <f t="shared" si="152"/>
        <v>23851.91</v>
      </c>
      <c r="BO148" s="163">
        <f t="shared" si="163"/>
        <v>0</v>
      </c>
      <c r="BP148" s="163">
        <f>BP147</f>
        <v>0</v>
      </c>
      <c r="BQ148" s="141">
        <f t="shared" si="153"/>
        <v>42444.76</v>
      </c>
      <c r="BR148" s="163">
        <f t="shared" ref="BR148:BX148" si="164">BR147</f>
        <v>0</v>
      </c>
      <c r="BS148" s="141">
        <f t="shared" si="154"/>
        <v>46158.78</v>
      </c>
      <c r="BT148" s="163">
        <f t="shared" si="164"/>
        <v>0</v>
      </c>
      <c r="BU148" s="141">
        <f t="shared" si="155"/>
        <v>39091.67</v>
      </c>
      <c r="BV148" s="163">
        <f t="shared" si="164"/>
        <v>0</v>
      </c>
      <c r="BW148" s="163">
        <f t="shared" si="164"/>
        <v>0</v>
      </c>
      <c r="BX148" s="165">
        <f t="shared" si="164"/>
        <v>775</v>
      </c>
      <c r="BY148" s="178"/>
      <c r="BZ148" s="178"/>
    </row>
    <row r="149" spans="1:256" ht="17.45" customHeight="1">
      <c r="A149" s="1649" t="s">
        <v>240</v>
      </c>
      <c r="B149" s="1650"/>
      <c r="C149" s="1651"/>
      <c r="D149" s="709">
        <f t="shared" si="127"/>
        <v>31250.82</v>
      </c>
      <c r="F149" s="709">
        <f t="shared" si="128"/>
        <v>38535.26</v>
      </c>
      <c r="H149" s="709">
        <f t="shared" si="129"/>
        <v>36779.949999999997</v>
      </c>
      <c r="K149" s="709">
        <f t="shared" si="130"/>
        <v>35546.49</v>
      </c>
      <c r="M149" s="709">
        <f t="shared" si="131"/>
        <v>43923.6</v>
      </c>
      <c r="O149" s="709">
        <f t="shared" si="132"/>
        <v>41904.99</v>
      </c>
      <c r="R149" s="709">
        <f t="shared" si="133"/>
        <v>41274.050000000003</v>
      </c>
      <c r="T149" s="709">
        <f t="shared" si="134"/>
        <v>51108.05</v>
      </c>
      <c r="V149" s="709">
        <f t="shared" si="135"/>
        <v>48738.38</v>
      </c>
      <c r="Y149" s="709">
        <f t="shared" si="136"/>
        <v>45569.73</v>
      </c>
      <c r="AA149" s="709">
        <f t="shared" si="137"/>
        <v>56496.39</v>
      </c>
      <c r="AD149" s="709">
        <f t="shared" si="138"/>
        <v>54161.08</v>
      </c>
      <c r="AF149" s="709">
        <f t="shared" si="139"/>
        <v>67273.070000000007</v>
      </c>
      <c r="AH149" s="709">
        <f t="shared" si="140"/>
        <v>64113.51</v>
      </c>
      <c r="AK149" s="709">
        <f t="shared" si="141"/>
        <v>29360.82</v>
      </c>
      <c r="AM149" s="709">
        <f t="shared" si="142"/>
        <v>36645.26</v>
      </c>
      <c r="AO149" s="709">
        <f t="shared" si="143"/>
        <v>34889.949999999997</v>
      </c>
      <c r="AR149" s="709">
        <f t="shared" si="144"/>
        <v>35718.379999999997</v>
      </c>
      <c r="AW149" s="709">
        <f t="shared" si="145"/>
        <v>65258.22</v>
      </c>
      <c r="AY149" s="709">
        <f t="shared" si="146"/>
        <v>81192.94</v>
      </c>
      <c r="BA149" s="709">
        <f t="shared" si="147"/>
        <v>77353.2</v>
      </c>
      <c r="BD149" s="709">
        <f t="shared" si="148"/>
        <v>77787.27</v>
      </c>
      <c r="BF149" s="709">
        <f t="shared" si="149"/>
        <v>96908.93</v>
      </c>
      <c r="BJ149" s="709">
        <f t="shared" si="150"/>
        <v>25708.01</v>
      </c>
      <c r="BL149" s="709">
        <f t="shared" si="151"/>
        <v>27763.9</v>
      </c>
      <c r="BN149" s="709">
        <f t="shared" si="152"/>
        <v>23851.91</v>
      </c>
      <c r="BQ149" s="709">
        <f t="shared" si="153"/>
        <v>42444.76</v>
      </c>
      <c r="BS149" s="709">
        <f t="shared" si="154"/>
        <v>46158.78</v>
      </c>
      <c r="BU149" s="709">
        <f t="shared" si="155"/>
        <v>39091.67</v>
      </c>
      <c r="BY149" s="178"/>
      <c r="BZ149" s="178"/>
    </row>
    <row r="150" spans="1:256" ht="17.25" thickBot="1">
      <c r="A150" s="778"/>
      <c r="B150" s="779" t="s">
        <v>507</v>
      </c>
      <c r="C150" s="779"/>
      <c r="D150" s="709">
        <f t="shared" si="127"/>
        <v>31250.82</v>
      </c>
      <c r="E150" s="728">
        <v>0</v>
      </c>
      <c r="F150" s="709">
        <f t="shared" si="128"/>
        <v>38535.26</v>
      </c>
      <c r="G150" s="728">
        <v>0</v>
      </c>
      <c r="H150" s="709">
        <f t="shared" si="129"/>
        <v>36779.949999999997</v>
      </c>
      <c r="I150" s="728">
        <v>0</v>
      </c>
      <c r="J150" s="728">
        <v>0</v>
      </c>
      <c r="K150" s="709">
        <f t="shared" si="130"/>
        <v>35546.49</v>
      </c>
      <c r="L150" s="728">
        <v>0</v>
      </c>
      <c r="M150" s="709">
        <f t="shared" si="131"/>
        <v>43923.6</v>
      </c>
      <c r="N150" s="728">
        <v>0</v>
      </c>
      <c r="O150" s="709">
        <f t="shared" si="132"/>
        <v>41904.99</v>
      </c>
      <c r="P150" s="728">
        <v>0</v>
      </c>
      <c r="Q150" s="728">
        <v>0</v>
      </c>
      <c r="R150" s="709">
        <f t="shared" si="133"/>
        <v>41274.050000000003</v>
      </c>
      <c r="S150" s="728">
        <v>0</v>
      </c>
      <c r="T150" s="709">
        <f t="shared" si="134"/>
        <v>51108.05</v>
      </c>
      <c r="U150" s="728">
        <v>0</v>
      </c>
      <c r="V150" s="709">
        <f t="shared" si="135"/>
        <v>48738.38</v>
      </c>
      <c r="W150" s="728">
        <v>0</v>
      </c>
      <c r="X150" s="728">
        <v>0</v>
      </c>
      <c r="Y150" s="709">
        <f t="shared" si="136"/>
        <v>45569.73</v>
      </c>
      <c r="Z150" s="728">
        <v>0</v>
      </c>
      <c r="AA150" s="709">
        <f t="shared" si="137"/>
        <v>56496.39</v>
      </c>
      <c r="AB150" s="728">
        <v>0</v>
      </c>
      <c r="AC150" s="728">
        <v>0</v>
      </c>
      <c r="AD150" s="709">
        <f t="shared" si="138"/>
        <v>54161.08</v>
      </c>
      <c r="AE150" s="728">
        <v>0</v>
      </c>
      <c r="AF150" s="709">
        <f t="shared" si="139"/>
        <v>67273.070000000007</v>
      </c>
      <c r="AG150" s="728">
        <v>0</v>
      </c>
      <c r="AH150" s="709">
        <f t="shared" si="140"/>
        <v>64113.51</v>
      </c>
      <c r="AI150" s="728">
        <v>0</v>
      </c>
      <c r="AJ150" s="728">
        <v>0</v>
      </c>
      <c r="AK150" s="709">
        <f t="shared" si="141"/>
        <v>29360.82</v>
      </c>
      <c r="AL150" s="728">
        <v>0</v>
      </c>
      <c r="AM150" s="709">
        <f t="shared" si="142"/>
        <v>36645.26</v>
      </c>
      <c r="AN150" s="728">
        <v>0</v>
      </c>
      <c r="AO150" s="709">
        <f t="shared" si="143"/>
        <v>34889.949999999997</v>
      </c>
      <c r="AP150" s="728">
        <v>0</v>
      </c>
      <c r="AQ150" s="728">
        <v>0</v>
      </c>
      <c r="AR150" s="709">
        <f t="shared" si="144"/>
        <v>35718.379999999997</v>
      </c>
      <c r="AS150" s="728">
        <v>0</v>
      </c>
      <c r="AT150" s="728">
        <v>0</v>
      </c>
      <c r="AU150" s="1065">
        <v>0</v>
      </c>
      <c r="AV150" s="728">
        <v>0</v>
      </c>
      <c r="AW150" s="709">
        <f t="shared" si="145"/>
        <v>65258.22</v>
      </c>
      <c r="AX150" s="728">
        <v>0</v>
      </c>
      <c r="AY150" s="709">
        <f t="shared" si="146"/>
        <v>81192.94</v>
      </c>
      <c r="AZ150" s="728">
        <v>0</v>
      </c>
      <c r="BA150" s="709">
        <f t="shared" si="147"/>
        <v>77353.2</v>
      </c>
      <c r="BB150" s="728">
        <v>0</v>
      </c>
      <c r="BC150" s="728">
        <v>0</v>
      </c>
      <c r="BD150" s="709">
        <f t="shared" si="148"/>
        <v>77787.27</v>
      </c>
      <c r="BE150" s="728">
        <v>0</v>
      </c>
      <c r="BF150" s="709">
        <f t="shared" si="149"/>
        <v>96908.93</v>
      </c>
      <c r="BG150" s="728">
        <v>0</v>
      </c>
      <c r="BH150" s="728">
        <v>0</v>
      </c>
      <c r="BI150" s="728">
        <v>0</v>
      </c>
      <c r="BJ150" s="709">
        <f t="shared" si="150"/>
        <v>25708.01</v>
      </c>
      <c r="BK150" s="728">
        <v>0</v>
      </c>
      <c r="BL150" s="709">
        <f t="shared" si="151"/>
        <v>27763.9</v>
      </c>
      <c r="BM150" s="728">
        <v>0</v>
      </c>
      <c r="BN150" s="709">
        <f t="shared" si="152"/>
        <v>23851.91</v>
      </c>
      <c r="BO150" s="728">
        <v>0</v>
      </c>
      <c r="BP150" s="728">
        <v>0</v>
      </c>
      <c r="BQ150" s="709">
        <f t="shared" si="153"/>
        <v>42444.76</v>
      </c>
      <c r="BR150" s="728">
        <v>0</v>
      </c>
      <c r="BS150" s="709">
        <f t="shared" si="154"/>
        <v>46158.78</v>
      </c>
      <c r="BT150" s="728">
        <v>0</v>
      </c>
      <c r="BU150" s="709">
        <f t="shared" si="155"/>
        <v>39091.67</v>
      </c>
      <c r="BV150" s="728">
        <v>0</v>
      </c>
      <c r="BW150" s="728">
        <v>0</v>
      </c>
      <c r="BX150" s="729">
        <v>0</v>
      </c>
      <c r="BY150" s="178"/>
      <c r="BZ150" s="178"/>
    </row>
    <row r="151" spans="1:256" ht="17.45" customHeight="1">
      <c r="A151" s="1631" t="s">
        <v>241</v>
      </c>
      <c r="B151" s="1632"/>
      <c r="C151" s="1633"/>
      <c r="D151" s="141">
        <f t="shared" si="127"/>
        <v>31250.82</v>
      </c>
      <c r="F151" s="141">
        <f t="shared" si="128"/>
        <v>38535.26</v>
      </c>
      <c r="H151" s="141">
        <f t="shared" si="129"/>
        <v>36779.949999999997</v>
      </c>
      <c r="K151" s="141">
        <f t="shared" si="130"/>
        <v>35546.49</v>
      </c>
      <c r="M151" s="141">
        <f t="shared" si="131"/>
        <v>43923.6</v>
      </c>
      <c r="O151" s="141">
        <f t="shared" si="132"/>
        <v>41904.99</v>
      </c>
      <c r="R151" s="141">
        <f t="shared" si="133"/>
        <v>41274.050000000003</v>
      </c>
      <c r="T151" s="141">
        <f t="shared" si="134"/>
        <v>51108.05</v>
      </c>
      <c r="V151" s="141">
        <f t="shared" si="135"/>
        <v>48738.38</v>
      </c>
      <c r="Y151" s="141">
        <f t="shared" si="136"/>
        <v>45569.73</v>
      </c>
      <c r="AA151" s="141">
        <f t="shared" si="137"/>
        <v>56496.39</v>
      </c>
      <c r="AD151" s="141">
        <f t="shared" si="138"/>
        <v>54161.08</v>
      </c>
      <c r="AF151" s="141">
        <f t="shared" si="139"/>
        <v>67273.070000000007</v>
      </c>
      <c r="AH151" s="141">
        <f t="shared" si="140"/>
        <v>64113.51</v>
      </c>
      <c r="AK151" s="141">
        <f t="shared" si="141"/>
        <v>29360.82</v>
      </c>
      <c r="AM151" s="141">
        <f t="shared" si="142"/>
        <v>36645.26</v>
      </c>
      <c r="AO151" s="141">
        <f t="shared" si="143"/>
        <v>34889.949999999997</v>
      </c>
      <c r="AR151" s="141">
        <f t="shared" si="144"/>
        <v>35718.379999999997</v>
      </c>
      <c r="AV151" s="248">
        <f>ROUND(AV155/AU155,3)</f>
        <v>2.073</v>
      </c>
      <c r="AW151" s="141">
        <f t="shared" si="145"/>
        <v>65258.22</v>
      </c>
      <c r="AY151" s="141">
        <f t="shared" si="146"/>
        <v>81192.94</v>
      </c>
      <c r="BA151" s="141">
        <f t="shared" si="147"/>
        <v>77353.2</v>
      </c>
      <c r="BD151" s="141">
        <f t="shared" si="148"/>
        <v>77787.27</v>
      </c>
      <c r="BF151" s="141">
        <f t="shared" si="149"/>
        <v>96908.93</v>
      </c>
      <c r="BJ151" s="141">
        <f t="shared" si="150"/>
        <v>25708.01</v>
      </c>
      <c r="BL151" s="141">
        <f t="shared" si="151"/>
        <v>27763.9</v>
      </c>
      <c r="BN151" s="141">
        <f t="shared" si="152"/>
        <v>23851.91</v>
      </c>
      <c r="BQ151" s="141">
        <f t="shared" si="153"/>
        <v>42444.76</v>
      </c>
      <c r="BS151" s="141">
        <f t="shared" si="154"/>
        <v>46158.78</v>
      </c>
      <c r="BU151" s="141">
        <f t="shared" si="155"/>
        <v>39091.67</v>
      </c>
      <c r="BY151" s="178"/>
      <c r="BZ151" s="178"/>
    </row>
    <row r="152" spans="1:256" s="106" customFormat="1" ht="32.450000000000003" customHeight="1">
      <c r="A152" s="95" t="s">
        <v>387</v>
      </c>
      <c r="B152" s="139" t="s">
        <v>508</v>
      </c>
      <c r="C152" s="332" t="s">
        <v>390</v>
      </c>
      <c r="D152" s="141">
        <f t="shared" si="127"/>
        <v>31250.82</v>
      </c>
      <c r="E152" s="104">
        <v>49</v>
      </c>
      <c r="F152" s="141">
        <f t="shared" si="128"/>
        <v>38535.26</v>
      </c>
      <c r="G152" s="104">
        <v>51</v>
      </c>
      <c r="H152" s="141">
        <f t="shared" si="129"/>
        <v>36779.949999999997</v>
      </c>
      <c r="I152" s="104">
        <v>9</v>
      </c>
      <c r="J152" s="142">
        <f>ROUND((D152*E152+F152*G152+H152*I152),2)</f>
        <v>3827607.99</v>
      </c>
      <c r="K152" s="141">
        <f t="shared" si="130"/>
        <v>35546.49</v>
      </c>
      <c r="L152" s="101"/>
      <c r="M152" s="141">
        <f t="shared" si="131"/>
        <v>43923.6</v>
      </c>
      <c r="N152" s="101"/>
      <c r="O152" s="141">
        <f t="shared" si="132"/>
        <v>41904.99</v>
      </c>
      <c r="P152" s="101"/>
      <c r="Q152" s="142">
        <f>ROUND((K152*L152+M152*N152+O152*P152),2)</f>
        <v>0</v>
      </c>
      <c r="R152" s="141">
        <f t="shared" si="133"/>
        <v>41274.050000000003</v>
      </c>
      <c r="S152" s="100"/>
      <c r="T152" s="141">
        <f t="shared" si="134"/>
        <v>51108.05</v>
      </c>
      <c r="U152" s="100"/>
      <c r="V152" s="141">
        <f t="shared" si="135"/>
        <v>48738.38</v>
      </c>
      <c r="W152" s="103"/>
      <c r="X152" s="142">
        <f>ROUND((R152*S152+T152*U152+V152*W152),2)</f>
        <v>0</v>
      </c>
      <c r="Y152" s="141">
        <f t="shared" si="136"/>
        <v>45569.73</v>
      </c>
      <c r="Z152" s="100"/>
      <c r="AA152" s="141">
        <f t="shared" si="137"/>
        <v>56496.39</v>
      </c>
      <c r="AB152" s="100"/>
      <c r="AC152" s="142">
        <f>ROUND((Y152*Z152+AA152*AB152),2)</f>
        <v>0</v>
      </c>
      <c r="AD152" s="141">
        <f t="shared" si="138"/>
        <v>54161.08</v>
      </c>
      <c r="AE152" s="101"/>
      <c r="AF152" s="141">
        <f t="shared" si="139"/>
        <v>67273.070000000007</v>
      </c>
      <c r="AG152" s="104">
        <v>1</v>
      </c>
      <c r="AH152" s="141">
        <f t="shared" si="140"/>
        <v>64113.51</v>
      </c>
      <c r="AI152" s="101"/>
      <c r="AJ152" s="142">
        <f>ROUND((AD152*AE152+AF152*AG152+AH152*AI152),2)</f>
        <v>67273.070000000007</v>
      </c>
      <c r="AK152" s="141">
        <f t="shared" si="141"/>
        <v>29360.82</v>
      </c>
      <c r="AL152" s="101"/>
      <c r="AM152" s="141">
        <f t="shared" si="142"/>
        <v>36645.26</v>
      </c>
      <c r="AN152" s="101"/>
      <c r="AO152" s="141">
        <f t="shared" si="143"/>
        <v>34889.949999999997</v>
      </c>
      <c r="AP152" s="101"/>
      <c r="AQ152" s="142">
        <f>ROUND((AK152*AL152+AM152*AN152+AO152*AP152),2)</f>
        <v>0</v>
      </c>
      <c r="AR152" s="141">
        <f t="shared" si="144"/>
        <v>35718.379999999997</v>
      </c>
      <c r="AS152" s="104"/>
      <c r="AT152" s="142">
        <f>ROUND((AR152*AS152),2)</f>
        <v>0</v>
      </c>
      <c r="AU152" s="143">
        <f>AT152+AQ152+AJ152+AC152+X152+Q152+J152</f>
        <v>3894881.06</v>
      </c>
      <c r="AV152" s="105"/>
      <c r="AW152" s="141">
        <f t="shared" si="145"/>
        <v>65258.22</v>
      </c>
      <c r="AX152" s="102"/>
      <c r="AY152" s="141">
        <f t="shared" si="146"/>
        <v>81192.94</v>
      </c>
      <c r="AZ152" s="102"/>
      <c r="BA152" s="141">
        <f t="shared" si="147"/>
        <v>77353.2</v>
      </c>
      <c r="BB152" s="102"/>
      <c r="BC152" s="142">
        <f>ROUND((AW152*AX152+AY152*AZ152+BA152*BB152),2)</f>
        <v>0</v>
      </c>
      <c r="BD152" s="141">
        <f t="shared" si="148"/>
        <v>77787.27</v>
      </c>
      <c r="BE152" s="100"/>
      <c r="BF152" s="141">
        <f t="shared" si="149"/>
        <v>96908.93</v>
      </c>
      <c r="BG152" s="100"/>
      <c r="BH152" s="142">
        <f>ROUND((BD152*BE152+BF152*BG152),2)</f>
        <v>0</v>
      </c>
      <c r="BI152" s="144">
        <f>BH152+BC152</f>
        <v>0</v>
      </c>
      <c r="BJ152" s="141">
        <f t="shared" si="150"/>
        <v>25708.01</v>
      </c>
      <c r="BK152" s="100"/>
      <c r="BL152" s="141">
        <f t="shared" si="151"/>
        <v>27763.9</v>
      </c>
      <c r="BM152" s="100"/>
      <c r="BN152" s="141">
        <f t="shared" si="152"/>
        <v>23851.91</v>
      </c>
      <c r="BO152" s="100"/>
      <c r="BP152" s="142">
        <f>ROUND((BJ152*BK152+BL152*BM152+BN152*BO152),2)</f>
        <v>0</v>
      </c>
      <c r="BQ152" s="141">
        <f t="shared" si="153"/>
        <v>42444.76</v>
      </c>
      <c r="BR152" s="103"/>
      <c r="BS152" s="141">
        <f t="shared" si="154"/>
        <v>46158.78</v>
      </c>
      <c r="BT152" s="103"/>
      <c r="BU152" s="141">
        <f t="shared" si="155"/>
        <v>39091.67</v>
      </c>
      <c r="BV152" s="103"/>
      <c r="BW152" s="142">
        <f>ROUND((BQ152*BR152+BS152*BT152+BU152*BV152),2)</f>
        <v>0</v>
      </c>
      <c r="BX152" s="145">
        <f>BV152+BT152+BR152+BO152+BM152+BK152+BG152+BE152+BB152+AZ152+AX152+AS152+AP152+AN152+AL152+AI152+AG152+AE152+AB152+Z152+W152+U152+S152+P152+N152+L152+I152+G152+E152</f>
        <v>110</v>
      </c>
      <c r="BY152" s="107"/>
      <c r="BZ152" s="107"/>
    </row>
    <row r="153" spans="1:256" s="116" customFormat="1" ht="41.45" customHeight="1">
      <c r="A153" s="118"/>
      <c r="B153" s="148" t="s">
        <v>509</v>
      </c>
      <c r="C153" s="333" t="s">
        <v>510</v>
      </c>
      <c r="D153" s="141">
        <f t="shared" si="127"/>
        <v>31250.82</v>
      </c>
      <c r="E153" s="114">
        <v>13</v>
      </c>
      <c r="F153" s="141">
        <f t="shared" si="128"/>
        <v>38535.26</v>
      </c>
      <c r="G153" s="114"/>
      <c r="H153" s="141">
        <f t="shared" si="129"/>
        <v>36779.949999999997</v>
      </c>
      <c r="I153" s="114"/>
      <c r="J153" s="142">
        <f>ROUND((D153*E153+F153*G153+H153*I153),2)</f>
        <v>406260.66</v>
      </c>
      <c r="K153" s="141">
        <f t="shared" si="130"/>
        <v>35546.49</v>
      </c>
      <c r="L153" s="111"/>
      <c r="M153" s="141">
        <f t="shared" si="131"/>
        <v>43923.6</v>
      </c>
      <c r="N153" s="111"/>
      <c r="O153" s="141">
        <f t="shared" si="132"/>
        <v>41904.99</v>
      </c>
      <c r="P153" s="111"/>
      <c r="Q153" s="142">
        <f>ROUND((K153*L153+M153*N153+O153*P153),2)</f>
        <v>0</v>
      </c>
      <c r="R153" s="141">
        <f t="shared" si="133"/>
        <v>41274.050000000003</v>
      </c>
      <c r="S153" s="111"/>
      <c r="T153" s="141">
        <f t="shared" si="134"/>
        <v>51108.05</v>
      </c>
      <c r="U153" s="111"/>
      <c r="V153" s="141">
        <f t="shared" si="135"/>
        <v>48738.38</v>
      </c>
      <c r="W153" s="111"/>
      <c r="X153" s="142">
        <f>ROUND((R153*S153+T153*U153+V153*W153),2)</f>
        <v>0</v>
      </c>
      <c r="Y153" s="141">
        <f t="shared" si="136"/>
        <v>45569.73</v>
      </c>
      <c r="Z153" s="111"/>
      <c r="AA153" s="141">
        <f t="shared" si="137"/>
        <v>56496.39</v>
      </c>
      <c r="AB153" s="111"/>
      <c r="AC153" s="142">
        <f>ROUND((Y153*Z153+AA153*AB153),2)</f>
        <v>0</v>
      </c>
      <c r="AD153" s="141">
        <f t="shared" si="138"/>
        <v>54161.08</v>
      </c>
      <c r="AE153" s="113"/>
      <c r="AF153" s="141">
        <f t="shared" si="139"/>
        <v>67273.070000000007</v>
      </c>
      <c r="AG153" s="113"/>
      <c r="AH153" s="141">
        <f t="shared" si="140"/>
        <v>64113.51</v>
      </c>
      <c r="AI153" s="113"/>
      <c r="AJ153" s="142">
        <f>ROUND((AD153*AE153+AF153*AG153+AH153*AI153),2)</f>
        <v>0</v>
      </c>
      <c r="AK153" s="141">
        <f t="shared" si="141"/>
        <v>29360.82</v>
      </c>
      <c r="AL153" s="113"/>
      <c r="AM153" s="141">
        <f t="shared" si="142"/>
        <v>36645.26</v>
      </c>
      <c r="AN153" s="113"/>
      <c r="AO153" s="141">
        <f t="shared" si="143"/>
        <v>34889.949999999997</v>
      </c>
      <c r="AP153" s="113"/>
      <c r="AQ153" s="142">
        <f>ROUND((AK153*AL153+AM153*AN153+AO153*AP153),2)</f>
        <v>0</v>
      </c>
      <c r="AR153" s="141">
        <f t="shared" si="144"/>
        <v>35718.379999999997</v>
      </c>
      <c r="AS153" s="114">
        <v>20</v>
      </c>
      <c r="AT153" s="142">
        <f>ROUND((AR153*AS153),2)</f>
        <v>714367.6</v>
      </c>
      <c r="AU153" s="143">
        <f>AT153+AQ153+AJ153+AC153+X153+Q153+J153</f>
        <v>1120628.26</v>
      </c>
      <c r="AV153" s="115"/>
      <c r="AW153" s="141">
        <f t="shared" si="145"/>
        <v>65258.22</v>
      </c>
      <c r="AX153" s="113"/>
      <c r="AY153" s="141">
        <f t="shared" si="146"/>
        <v>81192.94</v>
      </c>
      <c r="AZ153" s="113"/>
      <c r="BA153" s="141">
        <f t="shared" si="147"/>
        <v>77353.2</v>
      </c>
      <c r="BB153" s="113"/>
      <c r="BC153" s="142">
        <f>ROUND((AW153*AX153+AY153*AZ153+BA153*BB153),2)</f>
        <v>0</v>
      </c>
      <c r="BD153" s="141">
        <f t="shared" si="148"/>
        <v>77787.27</v>
      </c>
      <c r="BE153" s="111"/>
      <c r="BF153" s="141">
        <f t="shared" si="149"/>
        <v>96908.93</v>
      </c>
      <c r="BG153" s="111"/>
      <c r="BH153" s="142">
        <f>ROUND((BD153*BE153+BF153*BG153),2)</f>
        <v>0</v>
      </c>
      <c r="BI153" s="144">
        <f>BH153+BC153</f>
        <v>0</v>
      </c>
      <c r="BJ153" s="141">
        <f t="shared" si="150"/>
        <v>25708.01</v>
      </c>
      <c r="BK153" s="111"/>
      <c r="BL153" s="141">
        <f t="shared" si="151"/>
        <v>27763.9</v>
      </c>
      <c r="BM153" s="111"/>
      <c r="BN153" s="141">
        <f t="shared" si="152"/>
        <v>23851.91</v>
      </c>
      <c r="BO153" s="111"/>
      <c r="BP153" s="142">
        <f>ROUND((BJ153*BK153+BL153*BM153+BN153*BO153),2)</f>
        <v>0</v>
      </c>
      <c r="BQ153" s="141">
        <f t="shared" si="153"/>
        <v>42444.76</v>
      </c>
      <c r="BR153" s="111"/>
      <c r="BS153" s="141">
        <f t="shared" si="154"/>
        <v>46158.78</v>
      </c>
      <c r="BT153" s="111"/>
      <c r="BU153" s="141">
        <f t="shared" si="155"/>
        <v>39091.67</v>
      </c>
      <c r="BV153" s="111"/>
      <c r="BW153" s="142">
        <f>ROUND((BQ153*BR153+BS153*BT153+BU153*BV153),2)</f>
        <v>0</v>
      </c>
      <c r="BX153" s="222">
        <f>BV153+BT153+BR153+BO153+BM153+BK153+BG153+BE153+BB153+AZ153+AX153+AS153+AP153+AN153+AL153+AI153+AG153+AE153+AB153+Z153+W153+U153+S153+P153+N153+L153+I153+G153+E153</f>
        <v>33</v>
      </c>
      <c r="BY153" s="117"/>
      <c r="BZ153" s="117"/>
    </row>
    <row r="154" spans="1:256" s="193" customFormat="1" ht="27.6" customHeight="1">
      <c r="A154" s="206"/>
      <c r="B154" s="334" t="s">
        <v>511</v>
      </c>
      <c r="C154" s="207"/>
      <c r="D154" s="141">
        <f t="shared" si="127"/>
        <v>31250.82</v>
      </c>
      <c r="E154" s="104">
        <f>E153+E152</f>
        <v>62</v>
      </c>
      <c r="F154" s="141">
        <f t="shared" si="128"/>
        <v>38535.26</v>
      </c>
      <c r="G154" s="208">
        <f t="shared" ref="G154:AI154" si="165">G152+G153</f>
        <v>51</v>
      </c>
      <c r="H154" s="141">
        <f t="shared" si="129"/>
        <v>36779.949999999997</v>
      </c>
      <c r="I154" s="208">
        <f t="shared" si="165"/>
        <v>9</v>
      </c>
      <c r="J154" s="208">
        <f t="shared" si="165"/>
        <v>4233868.6500000004</v>
      </c>
      <c r="K154" s="141">
        <f t="shared" si="130"/>
        <v>35546.49</v>
      </c>
      <c r="L154" s="208">
        <f t="shared" si="165"/>
        <v>0</v>
      </c>
      <c r="M154" s="141">
        <f t="shared" si="131"/>
        <v>43923.6</v>
      </c>
      <c r="N154" s="208">
        <f t="shared" si="165"/>
        <v>0</v>
      </c>
      <c r="O154" s="141">
        <f t="shared" si="132"/>
        <v>41904.99</v>
      </c>
      <c r="P154" s="208">
        <f t="shared" si="165"/>
        <v>0</v>
      </c>
      <c r="Q154" s="208">
        <f>Q152+Q153</f>
        <v>0</v>
      </c>
      <c r="R154" s="141">
        <f t="shared" si="133"/>
        <v>41274.050000000003</v>
      </c>
      <c r="S154" s="208">
        <f t="shared" si="165"/>
        <v>0</v>
      </c>
      <c r="T154" s="141">
        <f t="shared" si="134"/>
        <v>51108.05</v>
      </c>
      <c r="U154" s="208">
        <f t="shared" si="165"/>
        <v>0</v>
      </c>
      <c r="V154" s="141">
        <f t="shared" si="135"/>
        <v>48738.38</v>
      </c>
      <c r="W154" s="208">
        <f t="shared" si="165"/>
        <v>0</v>
      </c>
      <c r="X154" s="208">
        <f>X152+X153</f>
        <v>0</v>
      </c>
      <c r="Y154" s="141">
        <f t="shared" si="136"/>
        <v>45569.73</v>
      </c>
      <c r="Z154" s="208">
        <f t="shared" si="165"/>
        <v>0</v>
      </c>
      <c r="AA154" s="141">
        <f t="shared" si="137"/>
        <v>56496.39</v>
      </c>
      <c r="AB154" s="208">
        <f t="shared" si="165"/>
        <v>0</v>
      </c>
      <c r="AC154" s="208">
        <f t="shared" si="165"/>
        <v>0</v>
      </c>
      <c r="AD154" s="141">
        <f t="shared" si="138"/>
        <v>54161.08</v>
      </c>
      <c r="AE154" s="208">
        <f t="shared" si="165"/>
        <v>0</v>
      </c>
      <c r="AF154" s="141">
        <f t="shared" si="139"/>
        <v>67273.070000000007</v>
      </c>
      <c r="AG154" s="208">
        <f t="shared" si="165"/>
        <v>1</v>
      </c>
      <c r="AH154" s="141">
        <f t="shared" si="140"/>
        <v>64113.51</v>
      </c>
      <c r="AI154" s="208">
        <f t="shared" si="165"/>
        <v>0</v>
      </c>
      <c r="AJ154" s="208">
        <f>AJ152+AJ153</f>
        <v>67273.070000000007</v>
      </c>
      <c r="AK154" s="141">
        <f t="shared" si="141"/>
        <v>29360.82</v>
      </c>
      <c r="AL154" s="208">
        <f t="shared" ref="AL154:BP154" si="166">AL152+AL153</f>
        <v>0</v>
      </c>
      <c r="AM154" s="141">
        <f t="shared" si="142"/>
        <v>36645.26</v>
      </c>
      <c r="AN154" s="208">
        <f t="shared" si="166"/>
        <v>0</v>
      </c>
      <c r="AO154" s="141">
        <f t="shared" si="143"/>
        <v>34889.949999999997</v>
      </c>
      <c r="AP154" s="208">
        <f t="shared" si="166"/>
        <v>0</v>
      </c>
      <c r="AQ154" s="208">
        <f t="shared" si="166"/>
        <v>0</v>
      </c>
      <c r="AR154" s="141">
        <f t="shared" si="144"/>
        <v>35718.379999999997</v>
      </c>
      <c r="AS154" s="208">
        <f t="shared" si="166"/>
        <v>20</v>
      </c>
      <c r="AT154" s="208">
        <f t="shared" si="166"/>
        <v>714367.6</v>
      </c>
      <c r="AU154" s="407">
        <f t="shared" si="166"/>
        <v>5015509.32</v>
      </c>
      <c r="AV154" s="208">
        <f t="shared" si="166"/>
        <v>0</v>
      </c>
      <c r="AW154" s="141">
        <f t="shared" si="145"/>
        <v>65258.22</v>
      </c>
      <c r="AX154" s="208">
        <f t="shared" si="166"/>
        <v>0</v>
      </c>
      <c r="AY154" s="141">
        <f t="shared" si="146"/>
        <v>81192.94</v>
      </c>
      <c r="AZ154" s="208">
        <f t="shared" si="166"/>
        <v>0</v>
      </c>
      <c r="BA154" s="141">
        <f t="shared" si="147"/>
        <v>77353.2</v>
      </c>
      <c r="BB154" s="208">
        <f t="shared" si="166"/>
        <v>0</v>
      </c>
      <c r="BC154" s="208">
        <f t="shared" si="166"/>
        <v>0</v>
      </c>
      <c r="BD154" s="141">
        <f t="shared" si="148"/>
        <v>77787.27</v>
      </c>
      <c r="BE154" s="208">
        <f t="shared" si="166"/>
        <v>0</v>
      </c>
      <c r="BF154" s="141">
        <f t="shared" si="149"/>
        <v>96908.93</v>
      </c>
      <c r="BG154" s="208">
        <f t="shared" si="166"/>
        <v>0</v>
      </c>
      <c r="BH154" s="208">
        <f t="shared" si="166"/>
        <v>0</v>
      </c>
      <c r="BI154" s="208">
        <f t="shared" si="166"/>
        <v>0</v>
      </c>
      <c r="BJ154" s="141">
        <f t="shared" si="150"/>
        <v>25708.01</v>
      </c>
      <c r="BK154" s="208">
        <f t="shared" si="166"/>
        <v>0</v>
      </c>
      <c r="BL154" s="141">
        <f t="shared" si="151"/>
        <v>27763.9</v>
      </c>
      <c r="BM154" s="208">
        <f t="shared" si="166"/>
        <v>0</v>
      </c>
      <c r="BN154" s="141">
        <f t="shared" si="152"/>
        <v>23851.91</v>
      </c>
      <c r="BO154" s="208">
        <f t="shared" si="166"/>
        <v>0</v>
      </c>
      <c r="BP154" s="208">
        <f t="shared" si="166"/>
        <v>0</v>
      </c>
      <c r="BQ154" s="141">
        <f t="shared" si="153"/>
        <v>42444.76</v>
      </c>
      <c r="BR154" s="208">
        <f t="shared" ref="BR154:BX154" si="167">BR152+BR153</f>
        <v>0</v>
      </c>
      <c r="BS154" s="141">
        <f t="shared" si="154"/>
        <v>46158.78</v>
      </c>
      <c r="BT154" s="208">
        <f t="shared" si="167"/>
        <v>0</v>
      </c>
      <c r="BU154" s="141">
        <f t="shared" si="155"/>
        <v>39091.67</v>
      </c>
      <c r="BV154" s="208">
        <f t="shared" si="167"/>
        <v>0</v>
      </c>
      <c r="BW154" s="208">
        <f t="shared" si="167"/>
        <v>0</v>
      </c>
      <c r="BX154" s="209">
        <f t="shared" si="167"/>
        <v>143</v>
      </c>
      <c r="BY154" s="192"/>
      <c r="BZ154" s="192"/>
    </row>
    <row r="155" spans="1:256" s="106" customFormat="1" ht="17.25" thickBot="1">
      <c r="A155" s="194"/>
      <c r="B155" s="195" t="s">
        <v>512</v>
      </c>
      <c r="C155" s="195"/>
      <c r="D155" s="141">
        <f t="shared" si="127"/>
        <v>31250.82</v>
      </c>
      <c r="E155" s="210">
        <f>E154</f>
        <v>62</v>
      </c>
      <c r="F155" s="141">
        <f t="shared" si="128"/>
        <v>38535.26</v>
      </c>
      <c r="G155" s="210">
        <f t="shared" ref="G155:BO155" si="168">G154</f>
        <v>51</v>
      </c>
      <c r="H155" s="141">
        <f t="shared" si="129"/>
        <v>36779.949999999997</v>
      </c>
      <c r="I155" s="210">
        <f t="shared" si="168"/>
        <v>9</v>
      </c>
      <c r="J155" s="210">
        <f t="shared" si="168"/>
        <v>4233868.6500000004</v>
      </c>
      <c r="K155" s="141">
        <f t="shared" si="130"/>
        <v>35546.49</v>
      </c>
      <c r="L155" s="210">
        <f t="shared" si="168"/>
        <v>0</v>
      </c>
      <c r="M155" s="141">
        <f t="shared" si="131"/>
        <v>43923.6</v>
      </c>
      <c r="N155" s="210">
        <f t="shared" si="168"/>
        <v>0</v>
      </c>
      <c r="O155" s="141">
        <f t="shared" si="132"/>
        <v>41904.99</v>
      </c>
      <c r="P155" s="210">
        <f t="shared" si="168"/>
        <v>0</v>
      </c>
      <c r="Q155" s="210">
        <f>Q154</f>
        <v>0</v>
      </c>
      <c r="R155" s="141">
        <f t="shared" si="133"/>
        <v>41274.050000000003</v>
      </c>
      <c r="S155" s="210">
        <f t="shared" si="168"/>
        <v>0</v>
      </c>
      <c r="T155" s="141">
        <f t="shared" si="134"/>
        <v>51108.05</v>
      </c>
      <c r="U155" s="210">
        <f t="shared" si="168"/>
        <v>0</v>
      </c>
      <c r="V155" s="141">
        <f t="shared" si="135"/>
        <v>48738.38</v>
      </c>
      <c r="W155" s="210">
        <f t="shared" si="168"/>
        <v>0</v>
      </c>
      <c r="X155" s="210">
        <f>X154</f>
        <v>0</v>
      </c>
      <c r="Y155" s="141">
        <f t="shared" si="136"/>
        <v>45569.73</v>
      </c>
      <c r="Z155" s="210">
        <f t="shared" si="168"/>
        <v>0</v>
      </c>
      <c r="AA155" s="141">
        <f t="shared" si="137"/>
        <v>56496.39</v>
      </c>
      <c r="AB155" s="210">
        <f t="shared" si="168"/>
        <v>0</v>
      </c>
      <c r="AC155" s="210">
        <f t="shared" si="168"/>
        <v>0</v>
      </c>
      <c r="AD155" s="141">
        <f t="shared" si="138"/>
        <v>54161.08</v>
      </c>
      <c r="AE155" s="210">
        <f t="shared" si="168"/>
        <v>0</v>
      </c>
      <c r="AF155" s="141">
        <f t="shared" si="139"/>
        <v>67273.070000000007</v>
      </c>
      <c r="AG155" s="210">
        <f t="shared" si="168"/>
        <v>1</v>
      </c>
      <c r="AH155" s="141">
        <f t="shared" si="140"/>
        <v>64113.51</v>
      </c>
      <c r="AI155" s="210">
        <f t="shared" si="168"/>
        <v>0</v>
      </c>
      <c r="AJ155" s="210">
        <f>AJ154</f>
        <v>67273.070000000007</v>
      </c>
      <c r="AK155" s="141">
        <f t="shared" si="141"/>
        <v>29360.82</v>
      </c>
      <c r="AL155" s="210">
        <f t="shared" si="168"/>
        <v>0</v>
      </c>
      <c r="AM155" s="141">
        <f t="shared" si="142"/>
        <v>36645.26</v>
      </c>
      <c r="AN155" s="210">
        <f t="shared" si="168"/>
        <v>0</v>
      </c>
      <c r="AO155" s="141">
        <f t="shared" si="143"/>
        <v>34889.949999999997</v>
      </c>
      <c r="AP155" s="210">
        <f t="shared" si="168"/>
        <v>0</v>
      </c>
      <c r="AQ155" s="210">
        <f>AQ154</f>
        <v>0</v>
      </c>
      <c r="AR155" s="141">
        <f t="shared" si="144"/>
        <v>35718.379999999997</v>
      </c>
      <c r="AS155" s="210">
        <f t="shared" si="168"/>
        <v>20</v>
      </c>
      <c r="AT155" s="210">
        <f t="shared" si="168"/>
        <v>714367.6</v>
      </c>
      <c r="AU155" s="857">
        <f t="shared" si="168"/>
        <v>5015509.32</v>
      </c>
      <c r="AV155" s="210">
        <f>'старое не смотреть'!D253</f>
        <v>10395019.199999999</v>
      </c>
      <c r="AW155" s="141">
        <f t="shared" si="145"/>
        <v>65258.22</v>
      </c>
      <c r="AX155" s="210">
        <f t="shared" si="168"/>
        <v>0</v>
      </c>
      <c r="AY155" s="141">
        <f t="shared" si="146"/>
        <v>81192.94</v>
      </c>
      <c r="AZ155" s="210">
        <f t="shared" si="168"/>
        <v>0</v>
      </c>
      <c r="BA155" s="141">
        <f t="shared" si="147"/>
        <v>77353.2</v>
      </c>
      <c r="BB155" s="210">
        <f t="shared" si="168"/>
        <v>0</v>
      </c>
      <c r="BC155" s="210">
        <f>BC154</f>
        <v>0</v>
      </c>
      <c r="BD155" s="141">
        <f t="shared" si="148"/>
        <v>77787.27</v>
      </c>
      <c r="BE155" s="210">
        <f t="shared" si="168"/>
        <v>0</v>
      </c>
      <c r="BF155" s="141">
        <f t="shared" si="149"/>
        <v>96908.93</v>
      </c>
      <c r="BG155" s="210">
        <f t="shared" si="168"/>
        <v>0</v>
      </c>
      <c r="BH155" s="210">
        <f t="shared" si="168"/>
        <v>0</v>
      </c>
      <c r="BI155" s="210">
        <f t="shared" si="168"/>
        <v>0</v>
      </c>
      <c r="BJ155" s="141">
        <f t="shared" si="150"/>
        <v>25708.01</v>
      </c>
      <c r="BK155" s="210">
        <f t="shared" si="168"/>
        <v>0</v>
      </c>
      <c r="BL155" s="141">
        <f t="shared" si="151"/>
        <v>27763.9</v>
      </c>
      <c r="BM155" s="210">
        <f t="shared" si="168"/>
        <v>0</v>
      </c>
      <c r="BN155" s="141">
        <f t="shared" si="152"/>
        <v>23851.91</v>
      </c>
      <c r="BO155" s="210">
        <f t="shared" si="168"/>
        <v>0</v>
      </c>
      <c r="BP155" s="210">
        <f>BP154</f>
        <v>0</v>
      </c>
      <c r="BQ155" s="141">
        <f t="shared" si="153"/>
        <v>42444.76</v>
      </c>
      <c r="BR155" s="210">
        <f t="shared" ref="BR155:BX155" si="169">BR154</f>
        <v>0</v>
      </c>
      <c r="BS155" s="141">
        <f t="shared" si="154"/>
        <v>46158.78</v>
      </c>
      <c r="BT155" s="210">
        <f t="shared" si="169"/>
        <v>0</v>
      </c>
      <c r="BU155" s="141">
        <f t="shared" si="155"/>
        <v>39091.67</v>
      </c>
      <c r="BV155" s="210">
        <f t="shared" si="169"/>
        <v>0</v>
      </c>
      <c r="BW155" s="210">
        <f t="shared" si="169"/>
        <v>0</v>
      </c>
      <c r="BX155" s="211">
        <f t="shared" si="169"/>
        <v>143</v>
      </c>
      <c r="BY155" s="107"/>
      <c r="BZ155" s="107"/>
    </row>
    <row r="156" spans="1:256" ht="17.45" customHeight="1">
      <c r="A156" s="1631" t="s">
        <v>250</v>
      </c>
      <c r="B156" s="1632"/>
      <c r="C156" s="1633"/>
      <c r="D156" s="141">
        <f t="shared" si="127"/>
        <v>31250.82</v>
      </c>
      <c r="F156" s="141">
        <f t="shared" si="128"/>
        <v>38535.26</v>
      </c>
      <c r="H156" s="141">
        <f t="shared" si="129"/>
        <v>36779.949999999997</v>
      </c>
      <c r="K156" s="141">
        <f t="shared" si="130"/>
        <v>35546.49</v>
      </c>
      <c r="M156" s="141">
        <f t="shared" si="131"/>
        <v>43923.6</v>
      </c>
      <c r="O156" s="141">
        <f t="shared" si="132"/>
        <v>41904.99</v>
      </c>
      <c r="R156" s="141">
        <f t="shared" si="133"/>
        <v>41274.050000000003</v>
      </c>
      <c r="T156" s="141">
        <f t="shared" si="134"/>
        <v>51108.05</v>
      </c>
      <c r="V156" s="141">
        <f t="shared" si="135"/>
        <v>48738.38</v>
      </c>
      <c r="Y156" s="141">
        <f t="shared" si="136"/>
        <v>45569.73</v>
      </c>
      <c r="AA156" s="141">
        <f t="shared" si="137"/>
        <v>56496.39</v>
      </c>
      <c r="AD156" s="141">
        <f t="shared" si="138"/>
        <v>54161.08</v>
      </c>
      <c r="AF156" s="141">
        <f t="shared" si="139"/>
        <v>67273.070000000007</v>
      </c>
      <c r="AH156" s="141">
        <f t="shared" si="140"/>
        <v>64113.51</v>
      </c>
      <c r="AK156" s="141">
        <f t="shared" si="141"/>
        <v>29360.82</v>
      </c>
      <c r="AM156" s="141">
        <f t="shared" si="142"/>
        <v>36645.26</v>
      </c>
      <c r="AO156" s="141">
        <f t="shared" si="143"/>
        <v>34889.949999999997</v>
      </c>
      <c r="AR156" s="141">
        <f t="shared" si="144"/>
        <v>35718.379999999997</v>
      </c>
      <c r="AV156" s="248">
        <f>ROUND(AV159/AU159,3)</f>
        <v>1.1459999999999999</v>
      </c>
      <c r="AW156" s="141">
        <f t="shared" si="145"/>
        <v>65258.22</v>
      </c>
      <c r="AY156" s="141">
        <f t="shared" si="146"/>
        <v>81192.94</v>
      </c>
      <c r="BA156" s="141">
        <f t="shared" si="147"/>
        <v>77353.2</v>
      </c>
      <c r="BD156" s="141">
        <f t="shared" si="148"/>
        <v>77787.27</v>
      </c>
      <c r="BF156" s="141">
        <f t="shared" si="149"/>
        <v>96908.93</v>
      </c>
      <c r="BJ156" s="141">
        <f t="shared" si="150"/>
        <v>25708.01</v>
      </c>
      <c r="BL156" s="141">
        <f t="shared" si="151"/>
        <v>27763.9</v>
      </c>
      <c r="BN156" s="141">
        <f t="shared" si="152"/>
        <v>23851.91</v>
      </c>
      <c r="BQ156" s="141">
        <f t="shared" si="153"/>
        <v>42444.76</v>
      </c>
      <c r="BS156" s="141">
        <f t="shared" si="154"/>
        <v>46158.78</v>
      </c>
      <c r="BU156" s="141">
        <f t="shared" si="155"/>
        <v>39091.67</v>
      </c>
      <c r="BY156" s="178"/>
      <c r="BZ156" s="178"/>
    </row>
    <row r="157" spans="1:256" s="106" customFormat="1" ht="16.5">
      <c r="A157" s="95" t="s">
        <v>387</v>
      </c>
      <c r="B157" s="172" t="s">
        <v>251</v>
      </c>
      <c r="C157" s="336" t="s">
        <v>388</v>
      </c>
      <c r="D157" s="141">
        <f t="shared" si="127"/>
        <v>31250.82</v>
      </c>
      <c r="E157" s="261">
        <v>217</v>
      </c>
      <c r="F157" s="141">
        <f t="shared" si="128"/>
        <v>38535.26</v>
      </c>
      <c r="G157" s="261">
        <v>244</v>
      </c>
      <c r="H157" s="141">
        <f t="shared" si="129"/>
        <v>36779.949999999997</v>
      </c>
      <c r="I157" s="261">
        <v>31</v>
      </c>
      <c r="J157" s="142">
        <f>ROUND((D157*E157+F157*G157+H157*I157),2)</f>
        <v>17324209.829999998</v>
      </c>
      <c r="K157" s="141">
        <f t="shared" si="130"/>
        <v>35546.49</v>
      </c>
      <c r="L157" s="101"/>
      <c r="M157" s="141">
        <f t="shared" si="131"/>
        <v>43923.6</v>
      </c>
      <c r="N157" s="101"/>
      <c r="O157" s="141">
        <f t="shared" si="132"/>
        <v>41904.99</v>
      </c>
      <c r="P157" s="101"/>
      <c r="Q157" s="142">
        <f>ROUND((K157*L157+M157*N157+O157*P157),2)</f>
        <v>0</v>
      </c>
      <c r="R157" s="141">
        <f t="shared" si="133"/>
        <v>41274.050000000003</v>
      </c>
      <c r="S157" s="100"/>
      <c r="T157" s="141">
        <f t="shared" si="134"/>
        <v>51108.05</v>
      </c>
      <c r="U157" s="100"/>
      <c r="V157" s="141">
        <f t="shared" si="135"/>
        <v>48738.38</v>
      </c>
      <c r="W157" s="103"/>
      <c r="X157" s="142">
        <f>ROUND((R157*S157+T157*U157+V157*W157),2)</f>
        <v>0</v>
      </c>
      <c r="Y157" s="141">
        <f t="shared" si="136"/>
        <v>45569.73</v>
      </c>
      <c r="Z157" s="100"/>
      <c r="AA157" s="141">
        <f t="shared" si="137"/>
        <v>56496.39</v>
      </c>
      <c r="AB157" s="100"/>
      <c r="AC157" s="142">
        <f>ROUND((Y157*Z157+AA157*AB157),2)</f>
        <v>0</v>
      </c>
      <c r="AD157" s="141">
        <f t="shared" si="138"/>
        <v>54161.08</v>
      </c>
      <c r="AE157" s="101">
        <v>3</v>
      </c>
      <c r="AF157" s="141">
        <f t="shared" si="139"/>
        <v>67273.070000000007</v>
      </c>
      <c r="AG157" s="101">
        <v>7</v>
      </c>
      <c r="AH157" s="141">
        <f t="shared" si="140"/>
        <v>64113.51</v>
      </c>
      <c r="AI157" s="101"/>
      <c r="AJ157" s="142">
        <f>ROUND((AD157*AE157+AF157*AG157+AH157*AI157),2)</f>
        <v>633394.73</v>
      </c>
      <c r="AK157" s="141">
        <f t="shared" si="141"/>
        <v>29360.82</v>
      </c>
      <c r="AL157" s="101"/>
      <c r="AM157" s="141">
        <f t="shared" si="142"/>
        <v>36645.26</v>
      </c>
      <c r="AN157" s="101"/>
      <c r="AO157" s="141">
        <f t="shared" si="143"/>
        <v>34889.949999999997</v>
      </c>
      <c r="AP157" s="101"/>
      <c r="AQ157" s="142">
        <f>ROUND((AK157*AL157+AM157*AN157+AO157*AP157),2)</f>
        <v>0</v>
      </c>
      <c r="AR157" s="141">
        <f t="shared" si="144"/>
        <v>35718.379999999997</v>
      </c>
      <c r="AS157" s="104"/>
      <c r="AT157" s="142">
        <f>ROUND((AR157*AS157),2)</f>
        <v>0</v>
      </c>
      <c r="AU157" s="143">
        <f>AT157+AQ157+AJ157+AC157+X157+Q157+J157</f>
        <v>17957604.559999999</v>
      </c>
      <c r="AV157" s="762">
        <f>'старое не смотреть'!D266</f>
        <v>22975472</v>
      </c>
      <c r="AW157" s="141">
        <f t="shared" si="145"/>
        <v>65258.22</v>
      </c>
      <c r="AX157" s="102"/>
      <c r="AY157" s="141">
        <f t="shared" si="146"/>
        <v>81192.94</v>
      </c>
      <c r="AZ157" s="102"/>
      <c r="BA157" s="141">
        <f t="shared" si="147"/>
        <v>77353.2</v>
      </c>
      <c r="BB157" s="102"/>
      <c r="BC157" s="142">
        <f>ROUND((AW157*AX157+AY157*AZ157+BA157*BB157),2)</f>
        <v>0</v>
      </c>
      <c r="BD157" s="141">
        <f t="shared" si="148"/>
        <v>77787.27</v>
      </c>
      <c r="BE157" s="100"/>
      <c r="BF157" s="141">
        <f t="shared" si="149"/>
        <v>96908.93</v>
      </c>
      <c r="BG157" s="100"/>
      <c r="BH157" s="142">
        <f>ROUND((BD157*BE157+BF157*BG157),2)</f>
        <v>0</v>
      </c>
      <c r="BI157" s="144">
        <f>BH157+BC157</f>
        <v>0</v>
      </c>
      <c r="BJ157" s="141">
        <f t="shared" si="150"/>
        <v>25708.01</v>
      </c>
      <c r="BK157" s="100"/>
      <c r="BL157" s="141">
        <f t="shared" si="151"/>
        <v>27763.9</v>
      </c>
      <c r="BM157" s="100">
        <v>4</v>
      </c>
      <c r="BN157" s="141">
        <f t="shared" si="152"/>
        <v>23851.91</v>
      </c>
      <c r="BO157" s="100"/>
      <c r="BP157" s="142">
        <f>ROUND((BJ157*BK157+BL157*BM157+BN157*BO157),2)</f>
        <v>111055.6</v>
      </c>
      <c r="BQ157" s="141">
        <f t="shared" si="153"/>
        <v>42444.76</v>
      </c>
      <c r="BR157" s="103"/>
      <c r="BS157" s="141">
        <f t="shared" si="154"/>
        <v>46158.78</v>
      </c>
      <c r="BT157" s="103"/>
      <c r="BU157" s="141">
        <f t="shared" si="155"/>
        <v>39091.67</v>
      </c>
      <c r="BV157" s="103"/>
      <c r="BW157" s="142">
        <f>ROUND((BQ157*BR157+BS157*BT157+BU157*BV157),2)</f>
        <v>0</v>
      </c>
      <c r="BX157" s="337">
        <f>BV157+BT157+BR157+BO157+BM157+BK157+BG157+BE157+BB157+AZ157+AX157+AS157+AP157+AN157+AL157+AI157+AG157+AE157+AB157+Z157+W157+U157+S157+P157+N157+L157+I157+G157+E157</f>
        <v>506</v>
      </c>
      <c r="BY157" s="107"/>
      <c r="BZ157" s="107"/>
    </row>
    <row r="158" spans="1:256" s="116" customFormat="1" ht="16.5">
      <c r="A158" s="108" t="s">
        <v>389</v>
      </c>
      <c r="B158" s="140" t="s">
        <v>252</v>
      </c>
      <c r="C158" s="254" t="s">
        <v>388</v>
      </c>
      <c r="D158" s="141">
        <f t="shared" si="127"/>
        <v>31250.82</v>
      </c>
      <c r="E158" s="110"/>
      <c r="F158" s="141">
        <f t="shared" si="128"/>
        <v>38535.26</v>
      </c>
      <c r="G158" s="110"/>
      <c r="H158" s="141">
        <f t="shared" si="129"/>
        <v>36779.949999999997</v>
      </c>
      <c r="I158" s="110"/>
      <c r="J158" s="142">
        <f>ROUND((D158*E158+F158*G158+H158*I158),2)</f>
        <v>0</v>
      </c>
      <c r="K158" s="141">
        <f t="shared" si="130"/>
        <v>35546.49</v>
      </c>
      <c r="L158" s="111"/>
      <c r="M158" s="141">
        <f t="shared" si="131"/>
        <v>43923.6</v>
      </c>
      <c r="N158" s="111"/>
      <c r="O158" s="141">
        <f t="shared" si="132"/>
        <v>41904.99</v>
      </c>
      <c r="P158" s="111"/>
      <c r="Q158" s="142">
        <f>ROUND((K158*L158+M158*N158+O158*P158),2)</f>
        <v>0</v>
      </c>
      <c r="R158" s="141">
        <f t="shared" si="133"/>
        <v>41274.050000000003</v>
      </c>
      <c r="S158" s="100">
        <v>142</v>
      </c>
      <c r="T158" s="141">
        <f t="shared" si="134"/>
        <v>51108.05</v>
      </c>
      <c r="U158" s="100">
        <v>152</v>
      </c>
      <c r="V158" s="141">
        <f t="shared" si="135"/>
        <v>48738.38</v>
      </c>
      <c r="W158" s="100">
        <v>36</v>
      </c>
      <c r="X158" s="142">
        <f>ROUND((R158*S158+T158*U158+V158*W158),2)</f>
        <v>15383920.380000001</v>
      </c>
      <c r="Y158" s="141">
        <f t="shared" si="136"/>
        <v>45569.73</v>
      </c>
      <c r="Z158" s="111"/>
      <c r="AA158" s="141">
        <f t="shared" si="137"/>
        <v>56496.39</v>
      </c>
      <c r="AB158" s="111"/>
      <c r="AC158" s="142">
        <f>ROUND((Y158*Z158+AA158*AB158),2)</f>
        <v>0</v>
      </c>
      <c r="AD158" s="141">
        <f t="shared" si="138"/>
        <v>54161.08</v>
      </c>
      <c r="AE158" s="101">
        <v>3</v>
      </c>
      <c r="AF158" s="141">
        <f t="shared" si="139"/>
        <v>67273.070000000007</v>
      </c>
      <c r="AG158" s="101">
        <v>0</v>
      </c>
      <c r="AH158" s="141">
        <f t="shared" si="140"/>
        <v>64113.51</v>
      </c>
      <c r="AI158" s="101">
        <v>0</v>
      </c>
      <c r="AJ158" s="142">
        <f>ROUND((AD158*AE158+AF158*AG158+AH158*AI158),2)</f>
        <v>162483.24</v>
      </c>
      <c r="AK158" s="141">
        <f t="shared" si="141"/>
        <v>29360.82</v>
      </c>
      <c r="AL158" s="113"/>
      <c r="AM158" s="141">
        <f t="shared" si="142"/>
        <v>36645.26</v>
      </c>
      <c r="AN158" s="113"/>
      <c r="AO158" s="141">
        <f t="shared" si="143"/>
        <v>34889.949999999997</v>
      </c>
      <c r="AP158" s="113"/>
      <c r="AQ158" s="142">
        <f>ROUND((AK158*AL158+AM158*AN158+AO158*AP158),2)</f>
        <v>0</v>
      </c>
      <c r="AR158" s="141">
        <f t="shared" si="144"/>
        <v>35718.379999999997</v>
      </c>
      <c r="AS158" s="114"/>
      <c r="AT158" s="142">
        <f>ROUND((AR158*AS158),2)</f>
        <v>0</v>
      </c>
      <c r="AU158" s="143">
        <f>AT158+AQ158+AJ158+AC158+X158+Q158+J158</f>
        <v>15546403.620000001</v>
      </c>
      <c r="AV158" s="115">
        <f>AU158</f>
        <v>15546403.620000001</v>
      </c>
      <c r="AW158" s="141">
        <f t="shared" si="145"/>
        <v>65258.22</v>
      </c>
      <c r="AX158" s="113"/>
      <c r="AY158" s="141">
        <f t="shared" si="146"/>
        <v>81192.94</v>
      </c>
      <c r="AZ158" s="113"/>
      <c r="BA158" s="141">
        <f t="shared" si="147"/>
        <v>77353.2</v>
      </c>
      <c r="BB158" s="113"/>
      <c r="BC158" s="142">
        <f>ROUND((AW158*AX158+AY158*AZ158+BA158*BB158),2)</f>
        <v>0</v>
      </c>
      <c r="BD158" s="141">
        <f t="shared" si="148"/>
        <v>77787.27</v>
      </c>
      <c r="BE158" s="111"/>
      <c r="BF158" s="141">
        <f t="shared" si="149"/>
        <v>96908.93</v>
      </c>
      <c r="BG158" s="111"/>
      <c r="BH158" s="142">
        <f>ROUND((BD158*BE158+BF158*BG158),2)</f>
        <v>0</v>
      </c>
      <c r="BI158" s="144">
        <f>BH158+BC158</f>
        <v>0</v>
      </c>
      <c r="BJ158" s="141">
        <f t="shared" si="150"/>
        <v>25708.01</v>
      </c>
      <c r="BK158" s="111"/>
      <c r="BL158" s="141">
        <f t="shared" si="151"/>
        <v>27763.9</v>
      </c>
      <c r="BM158" s="111"/>
      <c r="BN158" s="141">
        <f t="shared" si="152"/>
        <v>23851.91</v>
      </c>
      <c r="BO158" s="111"/>
      <c r="BP158" s="142">
        <f>ROUND((BJ158*BK158+BL158*BM158+BN158*BO158),2)</f>
        <v>0</v>
      </c>
      <c r="BQ158" s="141">
        <f t="shared" si="153"/>
        <v>42444.76</v>
      </c>
      <c r="BR158" s="111"/>
      <c r="BS158" s="141">
        <f t="shared" si="154"/>
        <v>46158.78</v>
      </c>
      <c r="BT158" s="111"/>
      <c r="BU158" s="141">
        <f t="shared" si="155"/>
        <v>39091.67</v>
      </c>
      <c r="BV158" s="111"/>
      <c r="BW158" s="142">
        <f>ROUND((BQ158*BR158+BS158*BT158+BU158*BV158),2)</f>
        <v>0</v>
      </c>
      <c r="BX158" s="337">
        <f>BV158+BT158+BR158+BO158+BM158+BK158+BG158+BE158+BB158+AZ158+AX158+AS158+AP158+AN158+AL158+AI158+AG158+AE158+AB158+Z158+W158+U158+S158+P158+N158+L158+I158+G158+E158</f>
        <v>333</v>
      </c>
      <c r="BY158" s="117"/>
      <c r="BZ158" s="117"/>
    </row>
    <row r="159" spans="1:256" ht="17.25" thickBot="1">
      <c r="A159" s="194"/>
      <c r="B159" s="195" t="s">
        <v>513</v>
      </c>
      <c r="C159" s="195"/>
      <c r="D159" s="141">
        <f t="shared" si="127"/>
        <v>31250.82</v>
      </c>
      <c r="E159" s="210">
        <f>E158+E157</f>
        <v>217</v>
      </c>
      <c r="F159" s="141">
        <f t="shared" si="128"/>
        <v>38535.26</v>
      </c>
      <c r="G159" s="210">
        <f t="shared" ref="G159:BO159" si="170">G158+G157</f>
        <v>244</v>
      </c>
      <c r="H159" s="141">
        <f t="shared" si="129"/>
        <v>36779.949999999997</v>
      </c>
      <c r="I159" s="210">
        <f t="shared" si="170"/>
        <v>31</v>
      </c>
      <c r="J159" s="210">
        <f t="shared" si="170"/>
        <v>17324209.829999998</v>
      </c>
      <c r="K159" s="141">
        <f t="shared" si="130"/>
        <v>35546.49</v>
      </c>
      <c r="L159" s="210">
        <f t="shared" si="170"/>
        <v>0</v>
      </c>
      <c r="M159" s="141">
        <f t="shared" si="131"/>
        <v>43923.6</v>
      </c>
      <c r="N159" s="210">
        <f t="shared" si="170"/>
        <v>0</v>
      </c>
      <c r="O159" s="141">
        <f t="shared" si="132"/>
        <v>41904.99</v>
      </c>
      <c r="P159" s="210">
        <f t="shared" si="170"/>
        <v>0</v>
      </c>
      <c r="Q159" s="210">
        <f>Q158+Q157</f>
        <v>0</v>
      </c>
      <c r="R159" s="141">
        <f t="shared" si="133"/>
        <v>41274.050000000003</v>
      </c>
      <c r="S159" s="210">
        <f t="shared" si="170"/>
        <v>142</v>
      </c>
      <c r="T159" s="141">
        <f t="shared" si="134"/>
        <v>51108.05</v>
      </c>
      <c r="U159" s="210">
        <f t="shared" si="170"/>
        <v>152</v>
      </c>
      <c r="V159" s="141">
        <f t="shared" si="135"/>
        <v>48738.38</v>
      </c>
      <c r="W159" s="210">
        <f t="shared" si="170"/>
        <v>36</v>
      </c>
      <c r="X159" s="210">
        <f>X158+X157</f>
        <v>15383920.380000001</v>
      </c>
      <c r="Y159" s="141">
        <f t="shared" si="136"/>
        <v>45569.73</v>
      </c>
      <c r="Z159" s="210">
        <f t="shared" si="170"/>
        <v>0</v>
      </c>
      <c r="AA159" s="141">
        <f t="shared" si="137"/>
        <v>56496.39</v>
      </c>
      <c r="AB159" s="210">
        <f t="shared" si="170"/>
        <v>0</v>
      </c>
      <c r="AC159" s="210">
        <f t="shared" si="170"/>
        <v>0</v>
      </c>
      <c r="AD159" s="141">
        <f t="shared" si="138"/>
        <v>54161.08</v>
      </c>
      <c r="AE159" s="210">
        <f t="shared" si="170"/>
        <v>6</v>
      </c>
      <c r="AF159" s="141">
        <f t="shared" si="139"/>
        <v>67273.070000000007</v>
      </c>
      <c r="AG159" s="210">
        <f t="shared" si="170"/>
        <v>7</v>
      </c>
      <c r="AH159" s="141">
        <f t="shared" si="140"/>
        <v>64113.51</v>
      </c>
      <c r="AI159" s="210">
        <f t="shared" si="170"/>
        <v>0</v>
      </c>
      <c r="AJ159" s="210">
        <f>AJ158+AJ157</f>
        <v>795877.97</v>
      </c>
      <c r="AK159" s="141">
        <f t="shared" si="141"/>
        <v>29360.82</v>
      </c>
      <c r="AL159" s="210">
        <f t="shared" si="170"/>
        <v>0</v>
      </c>
      <c r="AM159" s="141">
        <f t="shared" si="142"/>
        <v>36645.26</v>
      </c>
      <c r="AN159" s="210">
        <f t="shared" si="170"/>
        <v>0</v>
      </c>
      <c r="AO159" s="141">
        <f t="shared" si="143"/>
        <v>34889.949999999997</v>
      </c>
      <c r="AP159" s="210">
        <f t="shared" si="170"/>
        <v>0</v>
      </c>
      <c r="AQ159" s="210">
        <f>AQ158+AQ157</f>
        <v>0</v>
      </c>
      <c r="AR159" s="141">
        <f t="shared" si="144"/>
        <v>35718.379999999997</v>
      </c>
      <c r="AS159" s="210">
        <f t="shared" si="170"/>
        <v>0</v>
      </c>
      <c r="AT159" s="210">
        <f t="shared" si="170"/>
        <v>0</v>
      </c>
      <c r="AU159" s="857">
        <f t="shared" si="170"/>
        <v>33504008.18</v>
      </c>
      <c r="AV159" s="210">
        <f>AV158+AV157-BP159</f>
        <v>38410820.020000003</v>
      </c>
      <c r="AW159" s="141">
        <f t="shared" si="145"/>
        <v>65258.22</v>
      </c>
      <c r="AX159" s="210">
        <f t="shared" si="170"/>
        <v>0</v>
      </c>
      <c r="AY159" s="141">
        <f t="shared" si="146"/>
        <v>81192.94</v>
      </c>
      <c r="AZ159" s="210">
        <f t="shared" si="170"/>
        <v>0</v>
      </c>
      <c r="BA159" s="141">
        <f t="shared" si="147"/>
        <v>77353.2</v>
      </c>
      <c r="BB159" s="210">
        <f t="shared" si="170"/>
        <v>0</v>
      </c>
      <c r="BC159" s="210">
        <f>BC158+BC157</f>
        <v>0</v>
      </c>
      <c r="BD159" s="141">
        <f t="shared" si="148"/>
        <v>77787.27</v>
      </c>
      <c r="BE159" s="210">
        <f t="shared" si="170"/>
        <v>0</v>
      </c>
      <c r="BF159" s="141">
        <f t="shared" si="149"/>
        <v>96908.93</v>
      </c>
      <c r="BG159" s="210">
        <f t="shared" si="170"/>
        <v>0</v>
      </c>
      <c r="BH159" s="210">
        <f t="shared" si="170"/>
        <v>0</v>
      </c>
      <c r="BI159" s="210">
        <f t="shared" si="170"/>
        <v>0</v>
      </c>
      <c r="BJ159" s="141">
        <f t="shared" si="150"/>
        <v>25708.01</v>
      </c>
      <c r="BK159" s="210">
        <f t="shared" si="170"/>
        <v>0</v>
      </c>
      <c r="BL159" s="141">
        <f t="shared" si="151"/>
        <v>27763.9</v>
      </c>
      <c r="BM159" s="210">
        <f t="shared" si="170"/>
        <v>4</v>
      </c>
      <c r="BN159" s="141">
        <f t="shared" si="152"/>
        <v>23851.91</v>
      </c>
      <c r="BO159" s="210">
        <f t="shared" si="170"/>
        <v>0</v>
      </c>
      <c r="BP159" s="210">
        <f>BP158+BP157</f>
        <v>111055.6</v>
      </c>
      <c r="BQ159" s="141">
        <f t="shared" si="153"/>
        <v>42444.76</v>
      </c>
      <c r="BR159" s="210">
        <f t="shared" ref="BR159:BX159" si="171">BR158+BR157</f>
        <v>0</v>
      </c>
      <c r="BS159" s="141">
        <f t="shared" si="154"/>
        <v>46158.78</v>
      </c>
      <c r="BT159" s="210">
        <f t="shared" si="171"/>
        <v>0</v>
      </c>
      <c r="BU159" s="141">
        <f t="shared" si="155"/>
        <v>39091.67</v>
      </c>
      <c r="BV159" s="210">
        <f t="shared" si="171"/>
        <v>0</v>
      </c>
      <c r="BW159" s="210">
        <f t="shared" si="171"/>
        <v>0</v>
      </c>
      <c r="BX159" s="211">
        <f t="shared" si="171"/>
        <v>839</v>
      </c>
      <c r="BY159" s="178"/>
      <c r="BZ159" s="178"/>
    </row>
    <row r="160" spans="1:256" ht="17.45" customHeight="1">
      <c r="A160" s="1631" t="s">
        <v>514</v>
      </c>
      <c r="B160" s="1632"/>
      <c r="C160" s="1633"/>
      <c r="D160" s="141">
        <f t="shared" si="127"/>
        <v>31250.82</v>
      </c>
      <c r="F160" s="141">
        <f t="shared" si="128"/>
        <v>38535.26</v>
      </c>
      <c r="H160" s="141">
        <f t="shared" si="129"/>
        <v>36779.949999999997</v>
      </c>
      <c r="K160" s="141">
        <f t="shared" si="130"/>
        <v>35546.49</v>
      </c>
      <c r="M160" s="141">
        <f t="shared" si="131"/>
        <v>43923.6</v>
      </c>
      <c r="O160" s="141">
        <f t="shared" si="132"/>
        <v>41904.99</v>
      </c>
      <c r="R160" s="141">
        <f t="shared" si="133"/>
        <v>41274.050000000003</v>
      </c>
      <c r="T160" s="141">
        <f t="shared" si="134"/>
        <v>51108.05</v>
      </c>
      <c r="V160" s="141">
        <f t="shared" si="135"/>
        <v>48738.38</v>
      </c>
      <c r="Y160" s="141">
        <f t="shared" si="136"/>
        <v>45569.73</v>
      </c>
      <c r="AA160" s="141">
        <f t="shared" si="137"/>
        <v>56496.39</v>
      </c>
      <c r="AD160" s="141">
        <f t="shared" si="138"/>
        <v>54161.08</v>
      </c>
      <c r="AF160" s="141">
        <f t="shared" si="139"/>
        <v>67273.070000000007</v>
      </c>
      <c r="AH160" s="141">
        <f t="shared" si="140"/>
        <v>64113.51</v>
      </c>
      <c r="AK160" s="141">
        <f t="shared" si="141"/>
        <v>29360.82</v>
      </c>
      <c r="AM160" s="141">
        <f t="shared" si="142"/>
        <v>36645.26</v>
      </c>
      <c r="AO160" s="141">
        <f t="shared" si="143"/>
        <v>34889.949999999997</v>
      </c>
      <c r="AR160" s="141">
        <f t="shared" si="144"/>
        <v>35718.379999999997</v>
      </c>
      <c r="AV160" s="248">
        <f>ROUND(AV165/AU165,3)</f>
        <v>1.4910000000000001</v>
      </c>
      <c r="AW160" s="141">
        <f t="shared" si="145"/>
        <v>65258.22</v>
      </c>
      <c r="AY160" s="141">
        <f t="shared" si="146"/>
        <v>81192.94</v>
      </c>
      <c r="BA160" s="141">
        <f t="shared" si="147"/>
        <v>77353.2</v>
      </c>
      <c r="BD160" s="141">
        <f t="shared" si="148"/>
        <v>77787.27</v>
      </c>
      <c r="BF160" s="141">
        <f t="shared" si="149"/>
        <v>96908.93</v>
      </c>
      <c r="BJ160" s="141">
        <f t="shared" si="150"/>
        <v>25708.01</v>
      </c>
      <c r="BL160" s="141">
        <f t="shared" si="151"/>
        <v>27763.9</v>
      </c>
      <c r="BN160" s="141">
        <f t="shared" si="152"/>
        <v>23851.91</v>
      </c>
      <c r="BQ160" s="141">
        <f t="shared" si="153"/>
        <v>42444.76</v>
      </c>
      <c r="BS160" s="141">
        <f t="shared" si="154"/>
        <v>46158.78</v>
      </c>
      <c r="BU160" s="141">
        <f t="shared" si="155"/>
        <v>39091.67</v>
      </c>
      <c r="BY160" s="178"/>
      <c r="BZ160" s="178"/>
    </row>
    <row r="161" spans="1:78" s="106" customFormat="1" ht="16.5">
      <c r="A161" s="95" t="s">
        <v>387</v>
      </c>
      <c r="B161" s="139" t="s">
        <v>262</v>
      </c>
      <c r="C161" s="140" t="s">
        <v>390</v>
      </c>
      <c r="D161" s="141">
        <f t="shared" si="127"/>
        <v>31250.82</v>
      </c>
      <c r="E161" s="98">
        <v>146</v>
      </c>
      <c r="F161" s="141">
        <f t="shared" si="128"/>
        <v>38535.26</v>
      </c>
      <c r="G161" s="98">
        <v>138</v>
      </c>
      <c r="H161" s="141">
        <f t="shared" si="129"/>
        <v>36779.949999999997</v>
      </c>
      <c r="I161" s="98">
        <v>46</v>
      </c>
      <c r="J161" s="142">
        <f>ROUND((D161*E161+F161*G161+H161*I161),2)</f>
        <v>11572363.300000001</v>
      </c>
      <c r="K161" s="141">
        <f t="shared" si="130"/>
        <v>35546.49</v>
      </c>
      <c r="L161" s="101"/>
      <c r="M161" s="141">
        <f t="shared" si="131"/>
        <v>43923.6</v>
      </c>
      <c r="N161" s="101"/>
      <c r="O161" s="141">
        <f t="shared" si="132"/>
        <v>41904.99</v>
      </c>
      <c r="P161" s="101"/>
      <c r="Q161" s="142">
        <f>ROUND((K161*L161+M161*N161+O161*P161),2)</f>
        <v>0</v>
      </c>
      <c r="R161" s="141">
        <f t="shared" si="133"/>
        <v>41274.050000000003</v>
      </c>
      <c r="S161" s="100"/>
      <c r="T161" s="141">
        <f t="shared" si="134"/>
        <v>51108.05</v>
      </c>
      <c r="U161" s="100"/>
      <c r="V161" s="141">
        <f t="shared" si="135"/>
        <v>48738.38</v>
      </c>
      <c r="W161" s="103"/>
      <c r="X161" s="142">
        <f>ROUND((R161*S161+T161*U161+V161*W161),2)</f>
        <v>0</v>
      </c>
      <c r="Y161" s="141">
        <f t="shared" si="136"/>
        <v>45569.73</v>
      </c>
      <c r="Z161" s="100"/>
      <c r="AA161" s="141">
        <f t="shared" si="137"/>
        <v>56496.39</v>
      </c>
      <c r="AB161" s="100"/>
      <c r="AC161" s="142">
        <f>ROUND((Y161*Z161+AA161*AB161),2)</f>
        <v>0</v>
      </c>
      <c r="AD161" s="141">
        <f t="shared" si="138"/>
        <v>54161.08</v>
      </c>
      <c r="AE161" s="101">
        <v>4</v>
      </c>
      <c r="AF161" s="141">
        <f t="shared" si="139"/>
        <v>67273.070000000007</v>
      </c>
      <c r="AG161" s="101">
        <v>7</v>
      </c>
      <c r="AH161" s="141">
        <f t="shared" si="140"/>
        <v>64113.51</v>
      </c>
      <c r="AI161" s="101"/>
      <c r="AJ161" s="142">
        <f>ROUND((AD161*AE161+AF161*AG161+AH161*AI161),2)</f>
        <v>687555.81</v>
      </c>
      <c r="AK161" s="141">
        <f t="shared" si="141"/>
        <v>29360.82</v>
      </c>
      <c r="AL161" s="101"/>
      <c r="AM161" s="141">
        <f t="shared" si="142"/>
        <v>36645.26</v>
      </c>
      <c r="AN161" s="101"/>
      <c r="AO161" s="141">
        <f t="shared" si="143"/>
        <v>34889.949999999997</v>
      </c>
      <c r="AP161" s="101"/>
      <c r="AQ161" s="142">
        <f>ROUND((AK161*AL161+AM161*AN161+AO161*AP161),2)</f>
        <v>0</v>
      </c>
      <c r="AR161" s="141">
        <f t="shared" si="144"/>
        <v>35718.379999999997</v>
      </c>
      <c r="AS161" s="104"/>
      <c r="AT161" s="142">
        <f>ROUND((AR161*AS161),2)</f>
        <v>0</v>
      </c>
      <c r="AU161" s="143">
        <f>AT161+AQ161+AJ161+AC161+X161+Q161+J161</f>
        <v>12259919.110000001</v>
      </c>
      <c r="AV161" s="105"/>
      <c r="AW161" s="141">
        <f t="shared" si="145"/>
        <v>65258.22</v>
      </c>
      <c r="AX161" s="102"/>
      <c r="AY161" s="141">
        <f t="shared" si="146"/>
        <v>81192.94</v>
      </c>
      <c r="AZ161" s="102"/>
      <c r="BA161" s="141">
        <f t="shared" si="147"/>
        <v>77353.2</v>
      </c>
      <c r="BB161" s="102"/>
      <c r="BC161" s="142">
        <f>ROUND((AW161*AX161+AY161*AZ161+BA161*BB161),2)</f>
        <v>0</v>
      </c>
      <c r="BD161" s="141">
        <f t="shared" si="148"/>
        <v>77787.27</v>
      </c>
      <c r="BE161" s="100"/>
      <c r="BF161" s="141">
        <f t="shared" si="149"/>
        <v>96908.93</v>
      </c>
      <c r="BG161" s="100"/>
      <c r="BH161" s="142">
        <f>ROUND((BD161*BE161+BF161*BG161),2)</f>
        <v>0</v>
      </c>
      <c r="BI161" s="144">
        <f>BH161+BC161</f>
        <v>0</v>
      </c>
      <c r="BJ161" s="141">
        <f t="shared" si="150"/>
        <v>25708.01</v>
      </c>
      <c r="BK161" s="100"/>
      <c r="BL161" s="141">
        <f t="shared" si="151"/>
        <v>27763.9</v>
      </c>
      <c r="BM161" s="100"/>
      <c r="BN161" s="141">
        <f t="shared" si="152"/>
        <v>23851.91</v>
      </c>
      <c r="BO161" s="100"/>
      <c r="BP161" s="142">
        <f>ROUND((BJ161*BK161+BL161*BM161+BN161*BO161),2)</f>
        <v>0</v>
      </c>
      <c r="BQ161" s="141">
        <f t="shared" si="153"/>
        <v>42444.76</v>
      </c>
      <c r="BR161" s="103"/>
      <c r="BS161" s="141">
        <f t="shared" si="154"/>
        <v>46158.78</v>
      </c>
      <c r="BT161" s="103"/>
      <c r="BU161" s="141">
        <f t="shared" si="155"/>
        <v>39091.67</v>
      </c>
      <c r="BV161" s="103"/>
      <c r="BW161" s="142">
        <f>ROUND((BQ161*BR161+BS161*BT161+BU161*BV161),2)</f>
        <v>0</v>
      </c>
      <c r="BX161" s="183">
        <f>BV161+BT161+BR161+BO161+BM161+BK161+BG161+BE161+BB161+AZ161+AX161+AS161+AP161+AN161+AL161+AI161+AG161+AE161+AB161+Z161+W161+U161+S161+P161+N161+L161+I161+G161+E161</f>
        <v>341</v>
      </c>
      <c r="BY161" s="107"/>
      <c r="BZ161" s="107"/>
    </row>
    <row r="162" spans="1:78" s="116" customFormat="1" ht="16.5">
      <c r="A162" s="108"/>
      <c r="B162" s="124" t="s">
        <v>515</v>
      </c>
      <c r="C162" s="147" t="s">
        <v>516</v>
      </c>
      <c r="D162" s="141">
        <f>D164</f>
        <v>31250.82</v>
      </c>
      <c r="E162" s="110">
        <v>63</v>
      </c>
      <c r="F162" s="141">
        <f t="shared" si="128"/>
        <v>38535.26</v>
      </c>
      <c r="G162" s="110">
        <v>58</v>
      </c>
      <c r="H162" s="141">
        <f t="shared" si="129"/>
        <v>36779.949999999997</v>
      </c>
      <c r="I162" s="110"/>
      <c r="J162" s="142">
        <f>ROUND((D162*E162+F162*G162+H162*I162),2)</f>
        <v>4203846.74</v>
      </c>
      <c r="K162" s="141">
        <f>K164</f>
        <v>35546.49</v>
      </c>
      <c r="L162" s="111"/>
      <c r="M162" s="141">
        <f t="shared" si="131"/>
        <v>43923.6</v>
      </c>
      <c r="N162" s="111"/>
      <c r="O162" s="141">
        <f>O164</f>
        <v>41904.99</v>
      </c>
      <c r="P162" s="111"/>
      <c r="Q162" s="142">
        <f>ROUND((K162*L162+M162*N162+O162*P162),2)</f>
        <v>0</v>
      </c>
      <c r="R162" s="141">
        <f>R164</f>
        <v>41274.050000000003</v>
      </c>
      <c r="S162" s="111"/>
      <c r="T162" s="141">
        <f>T164</f>
        <v>51108.05</v>
      </c>
      <c r="U162" s="111"/>
      <c r="V162" s="141">
        <f>V164</f>
        <v>48738.38</v>
      </c>
      <c r="W162" s="111"/>
      <c r="X162" s="142">
        <f>ROUND((R162*S162+T162*U162+V162*W162),2)</f>
        <v>0</v>
      </c>
      <c r="Y162" s="141">
        <f>Y164</f>
        <v>45569.73</v>
      </c>
      <c r="Z162" s="111"/>
      <c r="AA162" s="141">
        <f t="shared" si="137"/>
        <v>56496.39</v>
      </c>
      <c r="AB162" s="111"/>
      <c r="AC162" s="142">
        <f>ROUND((Y162*Z162+AA162*AB162),2)</f>
        <v>0</v>
      </c>
      <c r="AD162" s="141">
        <f>AD164</f>
        <v>54161.08</v>
      </c>
      <c r="AE162" s="113"/>
      <c r="AF162" s="141">
        <f t="shared" si="139"/>
        <v>67273.070000000007</v>
      </c>
      <c r="AG162" s="113">
        <v>2</v>
      </c>
      <c r="AH162" s="141">
        <f t="shared" si="140"/>
        <v>64113.51</v>
      </c>
      <c r="AI162" s="113"/>
      <c r="AJ162" s="142">
        <f>ROUND((AD162*AE162+AF162*AG162+AH162*AI162),2)</f>
        <v>134546.14000000001</v>
      </c>
      <c r="AK162" s="141">
        <f t="shared" si="141"/>
        <v>29360.82</v>
      </c>
      <c r="AL162" s="113"/>
      <c r="AM162" s="141">
        <f t="shared" si="142"/>
        <v>36645.26</v>
      </c>
      <c r="AN162" s="113"/>
      <c r="AO162" s="141">
        <f t="shared" si="143"/>
        <v>34889.949999999997</v>
      </c>
      <c r="AP162" s="113"/>
      <c r="AQ162" s="142">
        <f>ROUND((AK162*AL162+AM162*AN162+AO162*AP162),2)</f>
        <v>0</v>
      </c>
      <c r="AR162" s="141">
        <f>AR164</f>
        <v>35718.379999999997</v>
      </c>
      <c r="AS162" s="114"/>
      <c r="AT162" s="142">
        <f>ROUND((AR162*AS162),2)</f>
        <v>0</v>
      </c>
      <c r="AU162" s="143">
        <f>AT162+AQ162+AJ162+AC162+X162+Q162+J162</f>
        <v>4338392.88</v>
      </c>
      <c r="AV162" s="115"/>
      <c r="AW162" s="141">
        <f>AW164</f>
        <v>65258.22</v>
      </c>
      <c r="AX162" s="113"/>
      <c r="AY162" s="141">
        <f>AY164</f>
        <v>81192.94</v>
      </c>
      <c r="AZ162" s="113"/>
      <c r="BA162" s="141">
        <f t="shared" si="147"/>
        <v>77353.2</v>
      </c>
      <c r="BB162" s="113"/>
      <c r="BC162" s="142">
        <f>ROUND((AW162*AX162+AY162*AZ162+BA162*BB162),2)</f>
        <v>0</v>
      </c>
      <c r="BD162" s="141">
        <f>BD164</f>
        <v>77787.27</v>
      </c>
      <c r="BE162" s="111"/>
      <c r="BF162" s="141">
        <f t="shared" si="149"/>
        <v>96908.93</v>
      </c>
      <c r="BG162" s="111"/>
      <c r="BH162" s="142">
        <f>ROUND((BD162*BE162+BF162*BG162),2)</f>
        <v>0</v>
      </c>
      <c r="BI162" s="144">
        <f>BH162+BC162</f>
        <v>0</v>
      </c>
      <c r="BJ162" s="141">
        <f t="shared" si="150"/>
        <v>25708.01</v>
      </c>
      <c r="BK162" s="111"/>
      <c r="BL162" s="141">
        <f t="shared" si="151"/>
        <v>27763.9</v>
      </c>
      <c r="BM162" s="111"/>
      <c r="BN162" s="141">
        <f>BN164</f>
        <v>23851.91</v>
      </c>
      <c r="BO162" s="111"/>
      <c r="BP162" s="142">
        <f>ROUND((BJ162*BK162+BL162*BM162+BN162*BO162),2)</f>
        <v>0</v>
      </c>
      <c r="BQ162" s="141">
        <f t="shared" si="153"/>
        <v>42444.76</v>
      </c>
      <c r="BR162" s="111"/>
      <c r="BS162" s="141">
        <f t="shared" si="154"/>
        <v>46158.78</v>
      </c>
      <c r="BT162" s="111"/>
      <c r="BU162" s="141">
        <f>BU164</f>
        <v>39091.67</v>
      </c>
      <c r="BV162" s="111"/>
      <c r="BW162" s="142">
        <f>ROUND((BQ162*BR162+BS162*BT162+BU162*BV162),2)</f>
        <v>0</v>
      </c>
      <c r="BX162" s="183">
        <f>BV162+BT162+BR162+BO162+BM162+BK162+BG162+BE162+BB162+AZ162+AX162+AS162+AP162+AN162+AL162+AI162+AG162+AE162+AB162+Z162+W162+U162+S162+P162+N162+L162+I162+G162+E162</f>
        <v>123</v>
      </c>
      <c r="BY162" s="117"/>
      <c r="BZ162" s="117"/>
    </row>
    <row r="163" spans="1:78" s="116" customFormat="1" ht="16.5">
      <c r="A163" s="338"/>
      <c r="B163" s="124" t="s">
        <v>517</v>
      </c>
      <c r="C163" s="339"/>
      <c r="D163" s="141">
        <f t="shared" si="127"/>
        <v>31250.82</v>
      </c>
      <c r="E163" s="110">
        <v>14</v>
      </c>
      <c r="F163" s="141">
        <f t="shared" si="128"/>
        <v>38535.26</v>
      </c>
      <c r="G163" s="110">
        <v>18</v>
      </c>
      <c r="H163" s="141">
        <f t="shared" si="129"/>
        <v>36779.949999999997</v>
      </c>
      <c r="I163" s="110"/>
      <c r="J163" s="142">
        <f>ROUND((D163*E163+F163*G163+H163*I163),2)</f>
        <v>1131146.1599999999</v>
      </c>
      <c r="K163" s="141">
        <f t="shared" si="130"/>
        <v>35546.49</v>
      </c>
      <c r="L163" s="111"/>
      <c r="M163" s="141">
        <f t="shared" si="131"/>
        <v>43923.6</v>
      </c>
      <c r="N163" s="111"/>
      <c r="O163" s="141">
        <f t="shared" si="132"/>
        <v>41904.99</v>
      </c>
      <c r="P163" s="111"/>
      <c r="Q163" s="142">
        <f>ROUND((K163*L163+M163*N163+O163*P163),2)</f>
        <v>0</v>
      </c>
      <c r="R163" s="141">
        <f t="shared" si="133"/>
        <v>41274.050000000003</v>
      </c>
      <c r="S163" s="111"/>
      <c r="T163" s="141">
        <f t="shared" si="134"/>
        <v>51108.05</v>
      </c>
      <c r="U163" s="111"/>
      <c r="V163" s="141">
        <f t="shared" si="135"/>
        <v>48738.38</v>
      </c>
      <c r="W163" s="111"/>
      <c r="X163" s="142">
        <f>ROUND((R163*S163+T163*U163+V163*W163),2)</f>
        <v>0</v>
      </c>
      <c r="Y163" s="141">
        <f t="shared" si="136"/>
        <v>45569.73</v>
      </c>
      <c r="Z163" s="111"/>
      <c r="AA163" s="141">
        <f t="shared" si="137"/>
        <v>56496.39</v>
      </c>
      <c r="AB163" s="111"/>
      <c r="AC163" s="142">
        <f>ROUND((Y163*Z163+AA163*AB163),2)</f>
        <v>0</v>
      </c>
      <c r="AD163" s="141">
        <f t="shared" si="138"/>
        <v>54161.08</v>
      </c>
      <c r="AE163" s="113">
        <v>2</v>
      </c>
      <c r="AF163" s="141">
        <f t="shared" si="139"/>
        <v>67273.070000000007</v>
      </c>
      <c r="AG163" s="113">
        <v>2</v>
      </c>
      <c r="AH163" s="141">
        <f t="shared" si="140"/>
        <v>64113.51</v>
      </c>
      <c r="AI163" s="113"/>
      <c r="AJ163" s="142">
        <f>ROUND((AD163*AE163+AF163*AG163+AH163*AI163),2)</f>
        <v>242868.3</v>
      </c>
      <c r="AK163" s="141">
        <f t="shared" si="141"/>
        <v>29360.82</v>
      </c>
      <c r="AL163" s="113"/>
      <c r="AM163" s="141">
        <f t="shared" si="142"/>
        <v>36645.26</v>
      </c>
      <c r="AN163" s="113"/>
      <c r="AO163" s="141">
        <f t="shared" si="143"/>
        <v>34889.949999999997</v>
      </c>
      <c r="AP163" s="113"/>
      <c r="AQ163" s="142">
        <f>ROUND((AK163*AL163+AM163*AN163+AO163*AP163),2)</f>
        <v>0</v>
      </c>
      <c r="AR163" s="141">
        <f t="shared" si="144"/>
        <v>35718.379999999997</v>
      </c>
      <c r="AS163" s="114"/>
      <c r="AT163" s="142"/>
      <c r="AU163" s="143">
        <f>AT163+AQ163+AJ163+AC163+X163+Q163+J163</f>
        <v>1374014.46</v>
      </c>
      <c r="AV163" s="115"/>
      <c r="AW163" s="141">
        <f t="shared" si="145"/>
        <v>65258.22</v>
      </c>
      <c r="AX163" s="113"/>
      <c r="AY163" s="141">
        <f t="shared" si="146"/>
        <v>81192.94</v>
      </c>
      <c r="AZ163" s="113"/>
      <c r="BA163" s="141">
        <f t="shared" si="147"/>
        <v>77353.2</v>
      </c>
      <c r="BB163" s="113"/>
      <c r="BC163" s="142">
        <f>ROUND((AW163*AX163+AY163*AZ163+BA163*BB163),2)</f>
        <v>0</v>
      </c>
      <c r="BD163" s="141">
        <f t="shared" si="148"/>
        <v>77787.27</v>
      </c>
      <c r="BE163" s="111"/>
      <c r="BF163" s="141">
        <f t="shared" si="149"/>
        <v>96908.93</v>
      </c>
      <c r="BG163" s="111"/>
      <c r="BH163" s="142">
        <f>ROUND((BD163*BE163+BF163*BG163),2)</f>
        <v>0</v>
      </c>
      <c r="BI163" s="144">
        <f>BH163+BC163</f>
        <v>0</v>
      </c>
      <c r="BJ163" s="141">
        <f t="shared" si="150"/>
        <v>25708.01</v>
      </c>
      <c r="BK163" s="111"/>
      <c r="BL163" s="141">
        <f t="shared" si="151"/>
        <v>27763.9</v>
      </c>
      <c r="BM163" s="111"/>
      <c r="BN163" s="141">
        <f t="shared" si="152"/>
        <v>23851.91</v>
      </c>
      <c r="BO163" s="111"/>
      <c r="BP163" s="142">
        <f>ROUND((BJ163*BK163+BL163*BM163+BN163*BO163),2)</f>
        <v>0</v>
      </c>
      <c r="BQ163" s="141">
        <f t="shared" si="153"/>
        <v>42444.76</v>
      </c>
      <c r="BR163" s="111"/>
      <c r="BS163" s="141">
        <f t="shared" si="154"/>
        <v>46158.78</v>
      </c>
      <c r="BT163" s="111"/>
      <c r="BU163" s="141">
        <f t="shared" si="155"/>
        <v>39091.67</v>
      </c>
      <c r="BV163" s="111"/>
      <c r="BW163" s="142">
        <f>ROUND((BQ163*BR163+BS163*BT163+BU163*BV163),2)</f>
        <v>0</v>
      </c>
      <c r="BX163" s="183">
        <f>BV163+BT163+BR163+BO163+BM163+BK163+BG163+BE163+BB163+AZ163+AX163+AS163+AP163+AN163+AL163+AI163+AG163+AE163+AB163+Z163+W163+U163+S163+P163+N163+L163+I163+G163+E163</f>
        <v>36</v>
      </c>
      <c r="BY163" s="117"/>
      <c r="BZ163" s="117"/>
    </row>
    <row r="164" spans="1:78" s="193" customFormat="1" ht="16.5">
      <c r="A164" s="340"/>
      <c r="B164" s="341" t="s">
        <v>518</v>
      </c>
      <c r="C164" s="342"/>
      <c r="D164" s="141">
        <f t="shared" si="127"/>
        <v>31250.82</v>
      </c>
      <c r="E164" s="209">
        <f>E162+E161+E163</f>
        <v>223</v>
      </c>
      <c r="F164" s="141">
        <f t="shared" si="128"/>
        <v>38535.26</v>
      </c>
      <c r="G164" s="209">
        <f>G162+G161+G163</f>
        <v>214</v>
      </c>
      <c r="H164" s="141">
        <f t="shared" si="129"/>
        <v>36779.949999999997</v>
      </c>
      <c r="I164" s="209">
        <f>I162+I161+I163</f>
        <v>46</v>
      </c>
      <c r="J164" s="209">
        <f>J162+J161+J163</f>
        <v>16907356.199999999</v>
      </c>
      <c r="K164" s="141">
        <f t="shared" si="130"/>
        <v>35546.49</v>
      </c>
      <c r="L164" s="209">
        <f>L162+L161+L163</f>
        <v>0</v>
      </c>
      <c r="M164" s="141">
        <f t="shared" si="131"/>
        <v>43923.6</v>
      </c>
      <c r="N164" s="209">
        <f>N162+N161+N163</f>
        <v>0</v>
      </c>
      <c r="O164" s="141">
        <f t="shared" si="132"/>
        <v>41904.99</v>
      </c>
      <c r="P164" s="209">
        <f>P162+P161+P163</f>
        <v>0</v>
      </c>
      <c r="Q164" s="209">
        <f>Q162+Q161+Q163</f>
        <v>0</v>
      </c>
      <c r="R164" s="141">
        <f t="shared" si="133"/>
        <v>41274.050000000003</v>
      </c>
      <c r="S164" s="209">
        <f>S162+S161+S163</f>
        <v>0</v>
      </c>
      <c r="T164" s="141">
        <f t="shared" si="134"/>
        <v>51108.05</v>
      </c>
      <c r="U164" s="209">
        <f>U162+U161+U163</f>
        <v>0</v>
      </c>
      <c r="V164" s="141">
        <f t="shared" si="135"/>
        <v>48738.38</v>
      </c>
      <c r="W164" s="209">
        <f>W162+W161+W163</f>
        <v>0</v>
      </c>
      <c r="X164" s="209">
        <f>X162+X161+X163</f>
        <v>0</v>
      </c>
      <c r="Y164" s="141">
        <f t="shared" si="136"/>
        <v>45569.73</v>
      </c>
      <c r="Z164" s="209">
        <f>Z162+Z161+Z163</f>
        <v>0</v>
      </c>
      <c r="AA164" s="141">
        <f t="shared" si="137"/>
        <v>56496.39</v>
      </c>
      <c r="AB164" s="209">
        <f>AB162+AB161+AB163</f>
        <v>0</v>
      </c>
      <c r="AC164" s="209">
        <f>AC162+AC161+AC163</f>
        <v>0</v>
      </c>
      <c r="AD164" s="141">
        <f t="shared" si="138"/>
        <v>54161.08</v>
      </c>
      <c r="AE164" s="209">
        <f>AE162+AE161+AE163</f>
        <v>6</v>
      </c>
      <c r="AF164" s="141">
        <f t="shared" si="139"/>
        <v>67273.070000000007</v>
      </c>
      <c r="AG164" s="209">
        <f>AG162+AG161+AG163</f>
        <v>11</v>
      </c>
      <c r="AH164" s="141">
        <f t="shared" si="140"/>
        <v>64113.51</v>
      </c>
      <c r="AI164" s="209">
        <f>AI162+AI161+AI163</f>
        <v>0</v>
      </c>
      <c r="AJ164" s="209">
        <f>AJ162+AJ161+AJ163</f>
        <v>1064970.25</v>
      </c>
      <c r="AK164" s="141">
        <f t="shared" si="141"/>
        <v>29360.82</v>
      </c>
      <c r="AL164" s="209">
        <f>AL162+AL161+AL163</f>
        <v>0</v>
      </c>
      <c r="AM164" s="141">
        <f t="shared" si="142"/>
        <v>36645.26</v>
      </c>
      <c r="AN164" s="209">
        <f>AN162+AN161+AN163</f>
        <v>0</v>
      </c>
      <c r="AO164" s="141">
        <f t="shared" si="143"/>
        <v>34889.949999999997</v>
      </c>
      <c r="AP164" s="209">
        <f>AP162+AP161+AP163</f>
        <v>0</v>
      </c>
      <c r="AQ164" s="209">
        <f>AQ162+AQ161+AQ163</f>
        <v>0</v>
      </c>
      <c r="AR164" s="141">
        <f t="shared" si="144"/>
        <v>35718.379999999997</v>
      </c>
      <c r="AS164" s="209">
        <f>AS162+AS161+AS163</f>
        <v>0</v>
      </c>
      <c r="AT164" s="209">
        <f>AT162+AT161+AT163</f>
        <v>0</v>
      </c>
      <c r="AU164" s="1069">
        <f>AU162+AU161+AU163</f>
        <v>17972326.450000003</v>
      </c>
      <c r="AV164" s="209">
        <f>AV162+AV161+AV163</f>
        <v>0</v>
      </c>
      <c r="AW164" s="141">
        <f t="shared" si="145"/>
        <v>65258.22</v>
      </c>
      <c r="AX164" s="209">
        <f>AX162+AX161+AX163</f>
        <v>0</v>
      </c>
      <c r="AY164" s="141">
        <f t="shared" si="146"/>
        <v>81192.94</v>
      </c>
      <c r="AZ164" s="209">
        <f>AZ162+AZ161+AZ163</f>
        <v>0</v>
      </c>
      <c r="BA164" s="141">
        <f t="shared" si="147"/>
        <v>77353.2</v>
      </c>
      <c r="BB164" s="209">
        <f>BB162+BB161+BB163</f>
        <v>0</v>
      </c>
      <c r="BC164" s="209">
        <f>BC162+BC161+BC163</f>
        <v>0</v>
      </c>
      <c r="BD164" s="141">
        <f t="shared" si="148"/>
        <v>77787.27</v>
      </c>
      <c r="BE164" s="209">
        <f>BE162+BE161+BE163</f>
        <v>0</v>
      </c>
      <c r="BF164" s="141">
        <f t="shared" si="149"/>
        <v>96908.93</v>
      </c>
      <c r="BG164" s="209">
        <f t="shared" ref="BG164:BW164" si="172">BG162+BG161+BG163</f>
        <v>0</v>
      </c>
      <c r="BH164" s="209">
        <f t="shared" si="172"/>
        <v>0</v>
      </c>
      <c r="BI164" s="209">
        <f t="shared" si="172"/>
        <v>0</v>
      </c>
      <c r="BJ164" s="141">
        <f t="shared" si="150"/>
        <v>25708.01</v>
      </c>
      <c r="BK164" s="209">
        <f t="shared" si="172"/>
        <v>0</v>
      </c>
      <c r="BL164" s="141">
        <f t="shared" si="151"/>
        <v>27763.9</v>
      </c>
      <c r="BM164" s="209">
        <f t="shared" si="172"/>
        <v>0</v>
      </c>
      <c r="BN164" s="141">
        <f t="shared" si="152"/>
        <v>23851.91</v>
      </c>
      <c r="BO164" s="209">
        <f t="shared" si="172"/>
        <v>0</v>
      </c>
      <c r="BP164" s="209">
        <f t="shared" si="172"/>
        <v>0</v>
      </c>
      <c r="BQ164" s="141">
        <f t="shared" si="153"/>
        <v>42444.76</v>
      </c>
      <c r="BR164" s="209">
        <f t="shared" si="172"/>
        <v>0</v>
      </c>
      <c r="BS164" s="141">
        <f t="shared" si="154"/>
        <v>46158.78</v>
      </c>
      <c r="BT164" s="209">
        <f t="shared" si="172"/>
        <v>0</v>
      </c>
      <c r="BU164" s="141">
        <f t="shared" si="155"/>
        <v>39091.67</v>
      </c>
      <c r="BV164" s="209">
        <f t="shared" si="172"/>
        <v>0</v>
      </c>
      <c r="BW164" s="209">
        <f t="shared" si="172"/>
        <v>0</v>
      </c>
      <c r="BX164" s="209">
        <f>BX162+BX161+BX163</f>
        <v>500</v>
      </c>
      <c r="BY164" s="192"/>
      <c r="BZ164" s="192"/>
    </row>
    <row r="165" spans="1:78" ht="33.75" thickBot="1">
      <c r="A165" s="194"/>
      <c r="B165" s="195" t="s">
        <v>519</v>
      </c>
      <c r="C165" s="195"/>
      <c r="D165" s="141">
        <f t="shared" si="127"/>
        <v>31250.82</v>
      </c>
      <c r="E165" s="210">
        <f>E164</f>
        <v>223</v>
      </c>
      <c r="F165" s="141">
        <f t="shared" si="128"/>
        <v>38535.26</v>
      </c>
      <c r="G165" s="210">
        <f t="shared" ref="G165:BO165" si="173">G164</f>
        <v>214</v>
      </c>
      <c r="H165" s="141">
        <f t="shared" si="129"/>
        <v>36779.949999999997</v>
      </c>
      <c r="I165" s="210">
        <f t="shared" si="173"/>
        <v>46</v>
      </c>
      <c r="J165" s="210">
        <f t="shared" si="173"/>
        <v>16907356.199999999</v>
      </c>
      <c r="K165" s="141">
        <f t="shared" si="130"/>
        <v>35546.49</v>
      </c>
      <c r="L165" s="210">
        <f t="shared" si="173"/>
        <v>0</v>
      </c>
      <c r="M165" s="141">
        <f t="shared" si="131"/>
        <v>43923.6</v>
      </c>
      <c r="N165" s="210">
        <f t="shared" si="173"/>
        <v>0</v>
      </c>
      <c r="O165" s="141">
        <f t="shared" si="132"/>
        <v>41904.99</v>
      </c>
      <c r="P165" s="210">
        <f t="shared" si="173"/>
        <v>0</v>
      </c>
      <c r="Q165" s="210">
        <f>Q164</f>
        <v>0</v>
      </c>
      <c r="R165" s="141">
        <f t="shared" si="133"/>
        <v>41274.050000000003</v>
      </c>
      <c r="S165" s="210">
        <f t="shared" si="173"/>
        <v>0</v>
      </c>
      <c r="T165" s="141">
        <f t="shared" si="134"/>
        <v>51108.05</v>
      </c>
      <c r="U165" s="210">
        <f t="shared" si="173"/>
        <v>0</v>
      </c>
      <c r="V165" s="141">
        <f t="shared" si="135"/>
        <v>48738.38</v>
      </c>
      <c r="W165" s="210">
        <f t="shared" si="173"/>
        <v>0</v>
      </c>
      <c r="X165" s="210">
        <f>X164</f>
        <v>0</v>
      </c>
      <c r="Y165" s="141">
        <f t="shared" si="136"/>
        <v>45569.73</v>
      </c>
      <c r="Z165" s="210">
        <f t="shared" si="173"/>
        <v>0</v>
      </c>
      <c r="AA165" s="141">
        <f t="shared" si="137"/>
        <v>56496.39</v>
      </c>
      <c r="AB165" s="210">
        <f t="shared" si="173"/>
        <v>0</v>
      </c>
      <c r="AC165" s="210">
        <f t="shared" si="173"/>
        <v>0</v>
      </c>
      <c r="AD165" s="141">
        <f t="shared" si="138"/>
        <v>54161.08</v>
      </c>
      <c r="AE165" s="210">
        <f t="shared" si="173"/>
        <v>6</v>
      </c>
      <c r="AF165" s="141">
        <f t="shared" si="139"/>
        <v>67273.070000000007</v>
      </c>
      <c r="AG165" s="210">
        <f t="shared" si="173"/>
        <v>11</v>
      </c>
      <c r="AH165" s="141">
        <f t="shared" si="140"/>
        <v>64113.51</v>
      </c>
      <c r="AI165" s="210">
        <f t="shared" si="173"/>
        <v>0</v>
      </c>
      <c r="AJ165" s="210">
        <f>AJ164</f>
        <v>1064970.25</v>
      </c>
      <c r="AK165" s="141">
        <f t="shared" si="141"/>
        <v>29360.82</v>
      </c>
      <c r="AL165" s="210">
        <f t="shared" si="173"/>
        <v>0</v>
      </c>
      <c r="AM165" s="141">
        <f t="shared" si="142"/>
        <v>36645.26</v>
      </c>
      <c r="AN165" s="210">
        <f t="shared" si="173"/>
        <v>0</v>
      </c>
      <c r="AO165" s="141">
        <f t="shared" si="143"/>
        <v>34889.949999999997</v>
      </c>
      <c r="AP165" s="210">
        <f t="shared" si="173"/>
        <v>0</v>
      </c>
      <c r="AQ165" s="210">
        <f>AQ164</f>
        <v>0</v>
      </c>
      <c r="AR165" s="141">
        <f t="shared" si="144"/>
        <v>35718.379999999997</v>
      </c>
      <c r="AS165" s="210">
        <f t="shared" si="173"/>
        <v>0</v>
      </c>
      <c r="AT165" s="210">
        <f t="shared" si="173"/>
        <v>0</v>
      </c>
      <c r="AU165" s="857">
        <f t="shared" si="173"/>
        <v>17972326.450000003</v>
      </c>
      <c r="AV165" s="210">
        <f>'старое не смотреть'!D285</f>
        <v>26787806.899999999</v>
      </c>
      <c r="AW165" s="141">
        <f t="shared" si="145"/>
        <v>65258.22</v>
      </c>
      <c r="AX165" s="210">
        <f t="shared" si="173"/>
        <v>0</v>
      </c>
      <c r="AY165" s="141">
        <f t="shared" si="146"/>
        <v>81192.94</v>
      </c>
      <c r="AZ165" s="210">
        <f t="shared" si="173"/>
        <v>0</v>
      </c>
      <c r="BA165" s="141">
        <f t="shared" si="147"/>
        <v>77353.2</v>
      </c>
      <c r="BB165" s="210">
        <f t="shared" si="173"/>
        <v>0</v>
      </c>
      <c r="BC165" s="210">
        <f>BC164</f>
        <v>0</v>
      </c>
      <c r="BD165" s="141">
        <f t="shared" si="148"/>
        <v>77787.27</v>
      </c>
      <c r="BE165" s="210">
        <f t="shared" si="173"/>
        <v>0</v>
      </c>
      <c r="BF165" s="141">
        <f t="shared" si="149"/>
        <v>96908.93</v>
      </c>
      <c r="BG165" s="210">
        <f t="shared" si="173"/>
        <v>0</v>
      </c>
      <c r="BH165" s="210">
        <f t="shared" si="173"/>
        <v>0</v>
      </c>
      <c r="BI165" s="210">
        <f t="shared" si="173"/>
        <v>0</v>
      </c>
      <c r="BJ165" s="141">
        <f t="shared" si="150"/>
        <v>25708.01</v>
      </c>
      <c r="BK165" s="210">
        <f t="shared" si="173"/>
        <v>0</v>
      </c>
      <c r="BL165" s="141">
        <f t="shared" si="151"/>
        <v>27763.9</v>
      </c>
      <c r="BM165" s="210">
        <f t="shared" si="173"/>
        <v>0</v>
      </c>
      <c r="BN165" s="141">
        <f t="shared" si="152"/>
        <v>23851.91</v>
      </c>
      <c r="BO165" s="210">
        <f t="shared" si="173"/>
        <v>0</v>
      </c>
      <c r="BP165" s="210">
        <f>BP164</f>
        <v>0</v>
      </c>
      <c r="BQ165" s="141">
        <f t="shared" si="153"/>
        <v>42444.76</v>
      </c>
      <c r="BR165" s="210">
        <f t="shared" ref="BR165:BX165" si="174">BR164</f>
        <v>0</v>
      </c>
      <c r="BS165" s="141">
        <f t="shared" si="154"/>
        <v>46158.78</v>
      </c>
      <c r="BT165" s="210">
        <f t="shared" si="174"/>
        <v>0</v>
      </c>
      <c r="BU165" s="141">
        <f t="shared" si="155"/>
        <v>39091.67</v>
      </c>
      <c r="BV165" s="210">
        <f t="shared" si="174"/>
        <v>0</v>
      </c>
      <c r="BW165" s="210">
        <f t="shared" si="174"/>
        <v>0</v>
      </c>
      <c r="BX165" s="211">
        <f t="shared" si="174"/>
        <v>500</v>
      </c>
      <c r="BY165" s="178"/>
      <c r="BZ165" s="178"/>
    </row>
    <row r="166" spans="1:78" ht="18.75">
      <c r="A166" s="1631" t="s">
        <v>267</v>
      </c>
      <c r="B166" s="1632"/>
      <c r="C166" s="1633"/>
      <c r="D166" s="141">
        <f t="shared" si="127"/>
        <v>31250.82</v>
      </c>
      <c r="F166" s="141">
        <f t="shared" si="128"/>
        <v>38535.26</v>
      </c>
      <c r="H166" s="141">
        <f t="shared" si="129"/>
        <v>36779.949999999997</v>
      </c>
      <c r="K166" s="141">
        <f t="shared" si="130"/>
        <v>35546.49</v>
      </c>
      <c r="M166" s="141">
        <f t="shared" si="131"/>
        <v>43923.6</v>
      </c>
      <c r="O166" s="141">
        <f t="shared" si="132"/>
        <v>41904.99</v>
      </c>
      <c r="R166" s="141">
        <f t="shared" si="133"/>
        <v>41274.050000000003</v>
      </c>
      <c r="T166" s="141">
        <f t="shared" si="134"/>
        <v>51108.05</v>
      </c>
      <c r="V166" s="141">
        <f t="shared" si="135"/>
        <v>48738.38</v>
      </c>
      <c r="Y166" s="141">
        <f t="shared" si="136"/>
        <v>45569.73</v>
      </c>
      <c r="AA166" s="141">
        <f t="shared" si="137"/>
        <v>56496.39</v>
      </c>
      <c r="AD166" s="141">
        <f t="shared" si="138"/>
        <v>54161.08</v>
      </c>
      <c r="AF166" s="141">
        <f t="shared" si="139"/>
        <v>67273.070000000007</v>
      </c>
      <c r="AH166" s="141">
        <f t="shared" si="140"/>
        <v>64113.51</v>
      </c>
      <c r="AK166" s="141">
        <f t="shared" si="141"/>
        <v>29360.82</v>
      </c>
      <c r="AM166" s="141">
        <f t="shared" si="142"/>
        <v>36645.26</v>
      </c>
      <c r="AO166" s="141">
        <f t="shared" si="143"/>
        <v>34889.949999999997</v>
      </c>
      <c r="AR166" s="141">
        <f t="shared" si="144"/>
        <v>35718.379999999997</v>
      </c>
      <c r="AV166" s="248">
        <f>ROUND(AV170/AU170,3)</f>
        <v>1.357</v>
      </c>
      <c r="AW166" s="141">
        <f t="shared" si="145"/>
        <v>65258.22</v>
      </c>
      <c r="AY166" s="141">
        <f t="shared" si="146"/>
        <v>81192.94</v>
      </c>
      <c r="BA166" s="141">
        <f t="shared" si="147"/>
        <v>77353.2</v>
      </c>
      <c r="BD166" s="141">
        <f t="shared" si="148"/>
        <v>77787.27</v>
      </c>
      <c r="BF166" s="141">
        <f t="shared" si="149"/>
        <v>96908.93</v>
      </c>
      <c r="BJ166" s="141">
        <f t="shared" si="150"/>
        <v>25708.01</v>
      </c>
      <c r="BL166" s="141">
        <f t="shared" si="151"/>
        <v>27763.9</v>
      </c>
      <c r="BN166" s="141">
        <f t="shared" si="152"/>
        <v>23851.91</v>
      </c>
      <c r="BQ166" s="141">
        <f t="shared" si="153"/>
        <v>42444.76</v>
      </c>
      <c r="BS166" s="141">
        <f t="shared" si="154"/>
        <v>46158.78</v>
      </c>
      <c r="BU166" s="141">
        <f t="shared" si="155"/>
        <v>39091.67</v>
      </c>
      <c r="BY166" s="178"/>
      <c r="BZ166" s="178"/>
    </row>
    <row r="167" spans="1:78" ht="16.5">
      <c r="A167" s="235" t="s">
        <v>387</v>
      </c>
      <c r="B167" s="343" t="s">
        <v>520</v>
      </c>
      <c r="C167" s="240" t="s">
        <v>410</v>
      </c>
      <c r="D167" s="141">
        <f t="shared" si="127"/>
        <v>31250.82</v>
      </c>
      <c r="E167" s="104">
        <v>219</v>
      </c>
      <c r="F167" s="141">
        <f t="shared" si="128"/>
        <v>38535.26</v>
      </c>
      <c r="G167" s="104">
        <v>274</v>
      </c>
      <c r="H167" s="141">
        <f t="shared" si="129"/>
        <v>36779.949999999997</v>
      </c>
      <c r="I167" s="104">
        <v>55</v>
      </c>
      <c r="J167" s="142">
        <f>ROUND((D167*E167+F167*G167+H167*I167),2)</f>
        <v>19425488.07</v>
      </c>
      <c r="K167" s="141">
        <f t="shared" si="130"/>
        <v>35546.49</v>
      </c>
      <c r="L167" s="101"/>
      <c r="M167" s="141">
        <f t="shared" si="131"/>
        <v>43923.6</v>
      </c>
      <c r="N167" s="101"/>
      <c r="O167" s="141">
        <f t="shared" si="132"/>
        <v>41904.99</v>
      </c>
      <c r="P167" s="101"/>
      <c r="Q167" s="142">
        <f>ROUND((K167*L167+M167*N167+O167*P167),2)</f>
        <v>0</v>
      </c>
      <c r="R167" s="141">
        <f t="shared" si="133"/>
        <v>41274.050000000003</v>
      </c>
      <c r="S167" s="100"/>
      <c r="T167" s="141">
        <f t="shared" si="134"/>
        <v>51108.05</v>
      </c>
      <c r="U167" s="100"/>
      <c r="V167" s="141">
        <f t="shared" si="135"/>
        <v>48738.38</v>
      </c>
      <c r="W167" s="103"/>
      <c r="X167" s="142">
        <f>ROUND((R167*S167+T167*U167+V167*W167),2)</f>
        <v>0</v>
      </c>
      <c r="Y167" s="141">
        <f t="shared" si="136"/>
        <v>45569.73</v>
      </c>
      <c r="Z167" s="100"/>
      <c r="AA167" s="141">
        <f t="shared" si="137"/>
        <v>56496.39</v>
      </c>
      <c r="AB167" s="100"/>
      <c r="AC167" s="142">
        <f>ROUND((Y167*Z167+AA167*AB167),2)</f>
        <v>0</v>
      </c>
      <c r="AD167" s="141">
        <f t="shared" si="138"/>
        <v>54161.08</v>
      </c>
      <c r="AE167" s="101">
        <v>6</v>
      </c>
      <c r="AF167" s="141">
        <f t="shared" si="139"/>
        <v>67273.070000000007</v>
      </c>
      <c r="AG167" s="101">
        <v>14</v>
      </c>
      <c r="AH167" s="141">
        <f t="shared" si="140"/>
        <v>64113.51</v>
      </c>
      <c r="AI167" s="101"/>
      <c r="AJ167" s="142">
        <f>ROUND((AD167*AE167+AF167*AG167+AH167*AI167),2)</f>
        <v>1266789.46</v>
      </c>
      <c r="AK167" s="141">
        <f t="shared" si="141"/>
        <v>29360.82</v>
      </c>
      <c r="AL167" s="101"/>
      <c r="AM167" s="141">
        <f t="shared" si="142"/>
        <v>36645.26</v>
      </c>
      <c r="AN167" s="101"/>
      <c r="AO167" s="141">
        <f t="shared" si="143"/>
        <v>34889.949999999997</v>
      </c>
      <c r="AP167" s="101"/>
      <c r="AQ167" s="142">
        <f>ROUND((AK167*AL167+AM167*AN167+AO167*AP167),2)</f>
        <v>0</v>
      </c>
      <c r="AR167" s="141">
        <f t="shared" si="144"/>
        <v>35718.379999999997</v>
      </c>
      <c r="AS167" s="104"/>
      <c r="AT167" s="142">
        <f>ROUND((AR167*AS167),2)</f>
        <v>0</v>
      </c>
      <c r="AU167" s="143">
        <f>AT167+AQ167+AJ167+AC167+X167+Q167+J167</f>
        <v>20692277.530000001</v>
      </c>
      <c r="AV167" s="105"/>
      <c r="AW167" s="141">
        <f t="shared" si="145"/>
        <v>65258.22</v>
      </c>
      <c r="AX167" s="102"/>
      <c r="AY167" s="141">
        <f t="shared" si="146"/>
        <v>81192.94</v>
      </c>
      <c r="AZ167" s="102"/>
      <c r="BA167" s="141">
        <f t="shared" si="147"/>
        <v>77353.2</v>
      </c>
      <c r="BB167" s="102"/>
      <c r="BC167" s="142">
        <f>ROUND((AW167*AX167+AY167*AZ167+BA167*BB167),2)</f>
        <v>0</v>
      </c>
      <c r="BD167" s="141">
        <f t="shared" si="148"/>
        <v>77787.27</v>
      </c>
      <c r="BE167" s="100"/>
      <c r="BF167" s="141">
        <f t="shared" si="149"/>
        <v>96908.93</v>
      </c>
      <c r="BG167" s="100"/>
      <c r="BH167" s="142">
        <f>ROUND((BD167*BE167+BF167*BG167),2)</f>
        <v>0</v>
      </c>
      <c r="BI167" s="144">
        <f>BH167+BC167</f>
        <v>0</v>
      </c>
      <c r="BJ167" s="141">
        <f t="shared" si="150"/>
        <v>25708.01</v>
      </c>
      <c r="BK167" s="100"/>
      <c r="BL167" s="141">
        <f t="shared" si="151"/>
        <v>27763.9</v>
      </c>
      <c r="BM167" s="100"/>
      <c r="BN167" s="141">
        <f t="shared" si="152"/>
        <v>23851.91</v>
      </c>
      <c r="BO167" s="100"/>
      <c r="BP167" s="142">
        <f>ROUND((BJ167*BK167+BL167*BM167+BN167*BO167),2)</f>
        <v>0</v>
      </c>
      <c r="BQ167" s="141">
        <f t="shared" si="153"/>
        <v>42444.76</v>
      </c>
      <c r="BR167" s="103"/>
      <c r="BS167" s="141">
        <f t="shared" si="154"/>
        <v>46158.78</v>
      </c>
      <c r="BT167" s="103"/>
      <c r="BU167" s="141">
        <f t="shared" si="155"/>
        <v>39091.67</v>
      </c>
      <c r="BV167" s="103"/>
      <c r="BW167" s="142">
        <f>ROUND((BQ167*BR167+BS167*BT167+BU167*BV167),2)</f>
        <v>0</v>
      </c>
      <c r="BX167" s="145">
        <f>BV167+BT167+BR167+BO167+BM167+BK167+BG167+BE167+BB167+AZ167+AX167+AS167+AP167+AN167+AL167+AI167+AG167+AE167+AB167+Z167+W167+U167+S167+P167+N167+L167+I167+G167+E167</f>
        <v>568</v>
      </c>
      <c r="BY167" s="178"/>
      <c r="BZ167" s="178"/>
    </row>
    <row r="168" spans="1:78" ht="33">
      <c r="A168" s="235"/>
      <c r="B168" s="344" t="s">
        <v>521</v>
      </c>
      <c r="C168" s="240"/>
      <c r="D168" s="141">
        <f t="shared" si="127"/>
        <v>31250.82</v>
      </c>
      <c r="E168" s="104">
        <v>11</v>
      </c>
      <c r="F168" s="141">
        <f t="shared" si="128"/>
        <v>38535.26</v>
      </c>
      <c r="G168" s="104"/>
      <c r="H168" s="141">
        <f t="shared" si="129"/>
        <v>36779.949999999997</v>
      </c>
      <c r="I168" s="104"/>
      <c r="J168" s="142">
        <f>ROUND((D168*E168+F168*G168+H168*I168),2)</f>
        <v>343759.02</v>
      </c>
      <c r="K168" s="141">
        <f t="shared" si="130"/>
        <v>35546.49</v>
      </c>
      <c r="L168" s="101"/>
      <c r="M168" s="141">
        <f t="shared" si="131"/>
        <v>43923.6</v>
      </c>
      <c r="N168" s="101"/>
      <c r="O168" s="141">
        <f t="shared" si="132"/>
        <v>41904.99</v>
      </c>
      <c r="P168" s="101"/>
      <c r="Q168" s="142">
        <f>ROUND((K168*L168+M168*N168+O168*P168),2)</f>
        <v>0</v>
      </c>
      <c r="R168" s="141">
        <f t="shared" si="133"/>
        <v>41274.050000000003</v>
      </c>
      <c r="S168" s="100"/>
      <c r="T168" s="141">
        <f t="shared" si="134"/>
        <v>51108.05</v>
      </c>
      <c r="U168" s="100"/>
      <c r="V168" s="141">
        <f t="shared" si="135"/>
        <v>48738.38</v>
      </c>
      <c r="W168" s="103"/>
      <c r="X168" s="142">
        <f>ROUND((R168*S168+T168*U168+V168*W168),2)</f>
        <v>0</v>
      </c>
      <c r="Y168" s="141">
        <f t="shared" si="136"/>
        <v>45569.73</v>
      </c>
      <c r="Z168" s="100"/>
      <c r="AA168" s="141">
        <f t="shared" si="137"/>
        <v>56496.39</v>
      </c>
      <c r="AB168" s="100"/>
      <c r="AC168" s="142">
        <f>ROUND((Y168*Z168+AA168*AB168),2)</f>
        <v>0</v>
      </c>
      <c r="AD168" s="141">
        <f t="shared" si="138"/>
        <v>54161.08</v>
      </c>
      <c r="AE168" s="101"/>
      <c r="AF168" s="141">
        <f t="shared" si="139"/>
        <v>67273.070000000007</v>
      </c>
      <c r="AG168" s="101"/>
      <c r="AH168" s="141">
        <f t="shared" si="140"/>
        <v>64113.51</v>
      </c>
      <c r="AI168" s="101"/>
      <c r="AJ168" s="142">
        <f>ROUND((AD168*AE168+AF168*AG168+AH168*AI168),2)</f>
        <v>0</v>
      </c>
      <c r="AK168" s="141">
        <f t="shared" si="141"/>
        <v>29360.82</v>
      </c>
      <c r="AL168" s="101"/>
      <c r="AM168" s="141">
        <f t="shared" si="142"/>
        <v>36645.26</v>
      </c>
      <c r="AN168" s="101"/>
      <c r="AO168" s="141">
        <f t="shared" si="143"/>
        <v>34889.949999999997</v>
      </c>
      <c r="AP168" s="101"/>
      <c r="AQ168" s="142">
        <f>ROUND((AK168*AL168+AM168*AN168+AO168*AP168),2)</f>
        <v>0</v>
      </c>
      <c r="AR168" s="141">
        <f t="shared" si="144"/>
        <v>35718.379999999997</v>
      </c>
      <c r="AS168" s="104"/>
      <c r="AT168" s="142">
        <f>ROUND((AR168*AS168),2)</f>
        <v>0</v>
      </c>
      <c r="AU168" s="143">
        <f>AT168+AQ168+AJ168+AC168+X168+Q168+J168</f>
        <v>343759.02</v>
      </c>
      <c r="AV168" s="105"/>
      <c r="AW168" s="141">
        <f t="shared" si="145"/>
        <v>65258.22</v>
      </c>
      <c r="AX168" s="102"/>
      <c r="AY168" s="141">
        <f t="shared" si="146"/>
        <v>81192.94</v>
      </c>
      <c r="AZ168" s="102"/>
      <c r="BA168" s="141">
        <f t="shared" si="147"/>
        <v>77353.2</v>
      </c>
      <c r="BB168" s="102"/>
      <c r="BC168" s="142">
        <f>ROUND((AW168*AX168+AY168*AZ168+BA168*BB168),2)</f>
        <v>0</v>
      </c>
      <c r="BD168" s="141">
        <f t="shared" si="148"/>
        <v>77787.27</v>
      </c>
      <c r="BE168" s="100"/>
      <c r="BF168" s="141">
        <f t="shared" si="149"/>
        <v>96908.93</v>
      </c>
      <c r="BG168" s="100"/>
      <c r="BH168" s="142">
        <f>ROUND((BD168*BE168+BF168*BG168),2)</f>
        <v>0</v>
      </c>
      <c r="BI168" s="144">
        <f>BH168+BC168</f>
        <v>0</v>
      </c>
      <c r="BJ168" s="141">
        <f t="shared" si="150"/>
        <v>25708.01</v>
      </c>
      <c r="BK168" s="100"/>
      <c r="BL168" s="141">
        <f t="shared" si="151"/>
        <v>27763.9</v>
      </c>
      <c r="BM168" s="100"/>
      <c r="BN168" s="141">
        <f t="shared" si="152"/>
        <v>23851.91</v>
      </c>
      <c r="BO168" s="100"/>
      <c r="BP168" s="142">
        <f>ROUND((BJ168*BK168+BL168*BM168+BN168*BO168),2)</f>
        <v>0</v>
      </c>
      <c r="BQ168" s="141">
        <f t="shared" si="153"/>
        <v>42444.76</v>
      </c>
      <c r="BR168" s="103"/>
      <c r="BS168" s="141">
        <f t="shared" si="154"/>
        <v>46158.78</v>
      </c>
      <c r="BT168" s="103"/>
      <c r="BU168" s="141">
        <f t="shared" si="155"/>
        <v>39091.67</v>
      </c>
      <c r="BV168" s="103"/>
      <c r="BW168" s="142">
        <f>ROUND((BQ168*BR168+BS168*BT168+BU168*BV168),2)</f>
        <v>0</v>
      </c>
      <c r="BX168" s="145">
        <f>BV168+BT168+BR168+BO168+BM168+BK168+BG168+BE168+BB168+AZ168+AX168+AS168+AP168+AN168+AL168+AI168+AG168+AE168+AB168+Z168+W168+U168+S168+P168+N168+L168+I168+G168+E168</f>
        <v>11</v>
      </c>
      <c r="BY168" s="178"/>
      <c r="BZ168" s="178"/>
    </row>
    <row r="169" spans="1:78" s="331" customFormat="1" ht="16.5">
      <c r="A169" s="345"/>
      <c r="B169" s="346" t="s">
        <v>522</v>
      </c>
      <c r="C169" s="346"/>
      <c r="D169" s="141">
        <f t="shared" si="127"/>
        <v>31250.82</v>
      </c>
      <c r="E169" s="347">
        <f>E168+E167</f>
        <v>230</v>
      </c>
      <c r="F169" s="141">
        <f t="shared" si="128"/>
        <v>38535.26</v>
      </c>
      <c r="G169" s="347">
        <f t="shared" ref="G169:BO169" si="175">G168+G167</f>
        <v>274</v>
      </c>
      <c r="H169" s="141">
        <f t="shared" si="129"/>
        <v>36779.949999999997</v>
      </c>
      <c r="I169" s="347">
        <f t="shared" si="175"/>
        <v>55</v>
      </c>
      <c r="J169" s="347">
        <f t="shared" si="175"/>
        <v>19769247.09</v>
      </c>
      <c r="K169" s="141">
        <f t="shared" si="130"/>
        <v>35546.49</v>
      </c>
      <c r="L169" s="347">
        <f t="shared" si="175"/>
        <v>0</v>
      </c>
      <c r="M169" s="141">
        <f t="shared" si="131"/>
        <v>43923.6</v>
      </c>
      <c r="N169" s="347">
        <f t="shared" si="175"/>
        <v>0</v>
      </c>
      <c r="O169" s="141">
        <f t="shared" si="132"/>
        <v>41904.99</v>
      </c>
      <c r="P169" s="347">
        <f t="shared" si="175"/>
        <v>0</v>
      </c>
      <c r="Q169" s="347">
        <f>Q168+Q167</f>
        <v>0</v>
      </c>
      <c r="R169" s="141">
        <f t="shared" si="133"/>
        <v>41274.050000000003</v>
      </c>
      <c r="S169" s="347">
        <f t="shared" si="175"/>
        <v>0</v>
      </c>
      <c r="T169" s="141">
        <f t="shared" si="134"/>
        <v>51108.05</v>
      </c>
      <c r="U169" s="347">
        <f t="shared" si="175"/>
        <v>0</v>
      </c>
      <c r="V169" s="141">
        <f t="shared" si="135"/>
        <v>48738.38</v>
      </c>
      <c r="W169" s="347">
        <f t="shared" si="175"/>
        <v>0</v>
      </c>
      <c r="X169" s="347">
        <f>X168+X167</f>
        <v>0</v>
      </c>
      <c r="Y169" s="141">
        <f t="shared" si="136"/>
        <v>45569.73</v>
      </c>
      <c r="Z169" s="347">
        <f t="shared" si="175"/>
        <v>0</v>
      </c>
      <c r="AA169" s="141">
        <f t="shared" si="137"/>
        <v>56496.39</v>
      </c>
      <c r="AB169" s="347">
        <f t="shared" si="175"/>
        <v>0</v>
      </c>
      <c r="AC169" s="347">
        <f t="shared" si="175"/>
        <v>0</v>
      </c>
      <c r="AD169" s="141">
        <f t="shared" si="138"/>
        <v>54161.08</v>
      </c>
      <c r="AE169" s="347">
        <f t="shared" si="175"/>
        <v>6</v>
      </c>
      <c r="AF169" s="141">
        <f t="shared" si="139"/>
        <v>67273.070000000007</v>
      </c>
      <c r="AG169" s="347">
        <f t="shared" si="175"/>
        <v>14</v>
      </c>
      <c r="AH169" s="141">
        <f t="shared" si="140"/>
        <v>64113.51</v>
      </c>
      <c r="AI169" s="347">
        <f t="shared" si="175"/>
        <v>0</v>
      </c>
      <c r="AJ169" s="347">
        <f>AJ168+AJ167</f>
        <v>1266789.46</v>
      </c>
      <c r="AK169" s="141">
        <f t="shared" si="141"/>
        <v>29360.82</v>
      </c>
      <c r="AL169" s="347">
        <f t="shared" si="175"/>
        <v>0</v>
      </c>
      <c r="AM169" s="141">
        <f t="shared" si="142"/>
        <v>36645.26</v>
      </c>
      <c r="AN169" s="347">
        <f t="shared" si="175"/>
        <v>0</v>
      </c>
      <c r="AO169" s="141">
        <f t="shared" si="143"/>
        <v>34889.949999999997</v>
      </c>
      <c r="AP169" s="347">
        <f t="shared" si="175"/>
        <v>0</v>
      </c>
      <c r="AQ169" s="347">
        <f>AQ168+AQ167</f>
        <v>0</v>
      </c>
      <c r="AR169" s="141">
        <f t="shared" si="144"/>
        <v>35718.379999999997</v>
      </c>
      <c r="AS169" s="347">
        <f t="shared" si="175"/>
        <v>0</v>
      </c>
      <c r="AT169" s="347">
        <f t="shared" si="175"/>
        <v>0</v>
      </c>
      <c r="AU169" s="858">
        <f t="shared" si="175"/>
        <v>21036036.550000001</v>
      </c>
      <c r="AV169" s="347">
        <f t="shared" si="175"/>
        <v>0</v>
      </c>
      <c r="AW169" s="141">
        <f t="shared" si="145"/>
        <v>65258.22</v>
      </c>
      <c r="AX169" s="347">
        <f t="shared" si="175"/>
        <v>0</v>
      </c>
      <c r="AY169" s="141">
        <f t="shared" si="146"/>
        <v>81192.94</v>
      </c>
      <c r="AZ169" s="347">
        <f t="shared" si="175"/>
        <v>0</v>
      </c>
      <c r="BA169" s="141">
        <f t="shared" si="147"/>
        <v>77353.2</v>
      </c>
      <c r="BB169" s="347">
        <f t="shared" si="175"/>
        <v>0</v>
      </c>
      <c r="BC169" s="347">
        <f>BC168+BC167</f>
        <v>0</v>
      </c>
      <c r="BD169" s="141">
        <f t="shared" si="148"/>
        <v>77787.27</v>
      </c>
      <c r="BE169" s="347">
        <f t="shared" si="175"/>
        <v>0</v>
      </c>
      <c r="BF169" s="141">
        <f t="shared" si="149"/>
        <v>96908.93</v>
      </c>
      <c r="BG169" s="347">
        <f t="shared" si="175"/>
        <v>0</v>
      </c>
      <c r="BH169" s="347">
        <f t="shared" si="175"/>
        <v>0</v>
      </c>
      <c r="BI169" s="347">
        <f t="shared" si="175"/>
        <v>0</v>
      </c>
      <c r="BJ169" s="141">
        <f t="shared" si="150"/>
        <v>25708.01</v>
      </c>
      <c r="BK169" s="347">
        <f t="shared" si="175"/>
        <v>0</v>
      </c>
      <c r="BL169" s="141">
        <f t="shared" si="151"/>
        <v>27763.9</v>
      </c>
      <c r="BM169" s="347">
        <f t="shared" si="175"/>
        <v>0</v>
      </c>
      <c r="BN169" s="141">
        <f t="shared" si="152"/>
        <v>23851.91</v>
      </c>
      <c r="BO169" s="347">
        <f t="shared" si="175"/>
        <v>0</v>
      </c>
      <c r="BP169" s="347">
        <f>BP168+BP167</f>
        <v>0</v>
      </c>
      <c r="BQ169" s="141">
        <f t="shared" si="153"/>
        <v>42444.76</v>
      </c>
      <c r="BR169" s="347">
        <f t="shared" ref="BR169:BX169" si="176">BR168+BR167</f>
        <v>0</v>
      </c>
      <c r="BS169" s="141">
        <f t="shared" si="154"/>
        <v>46158.78</v>
      </c>
      <c r="BT169" s="347">
        <f t="shared" si="176"/>
        <v>0</v>
      </c>
      <c r="BU169" s="141">
        <f t="shared" si="155"/>
        <v>39091.67</v>
      </c>
      <c r="BV169" s="347">
        <f t="shared" si="176"/>
        <v>0</v>
      </c>
      <c r="BW169" s="347">
        <f t="shared" si="176"/>
        <v>0</v>
      </c>
      <c r="BX169" s="348">
        <f t="shared" si="176"/>
        <v>579</v>
      </c>
      <c r="BY169" s="349"/>
      <c r="BZ169" s="349"/>
    </row>
    <row r="170" spans="1:78" ht="17.25" thickBot="1">
      <c r="A170" s="194"/>
      <c r="B170" s="195" t="s">
        <v>523</v>
      </c>
      <c r="C170" s="195"/>
      <c r="D170" s="141">
        <f t="shared" si="127"/>
        <v>31250.82</v>
      </c>
      <c r="E170" s="210">
        <f>E169</f>
        <v>230</v>
      </c>
      <c r="F170" s="141">
        <f t="shared" si="128"/>
        <v>38535.26</v>
      </c>
      <c r="G170" s="210">
        <f t="shared" ref="G170:BO170" si="177">G169</f>
        <v>274</v>
      </c>
      <c r="H170" s="141">
        <f t="shared" si="129"/>
        <v>36779.949999999997</v>
      </c>
      <c r="I170" s="210">
        <f t="shared" si="177"/>
        <v>55</v>
      </c>
      <c r="J170" s="210">
        <f t="shared" si="177"/>
        <v>19769247.09</v>
      </c>
      <c r="K170" s="141">
        <f t="shared" si="130"/>
        <v>35546.49</v>
      </c>
      <c r="L170" s="210">
        <f t="shared" si="177"/>
        <v>0</v>
      </c>
      <c r="M170" s="141">
        <f t="shared" si="131"/>
        <v>43923.6</v>
      </c>
      <c r="N170" s="210">
        <f t="shared" si="177"/>
        <v>0</v>
      </c>
      <c r="O170" s="141">
        <f t="shared" si="132"/>
        <v>41904.99</v>
      </c>
      <c r="P170" s="210">
        <f t="shared" si="177"/>
        <v>0</v>
      </c>
      <c r="Q170" s="210">
        <f>Q169</f>
        <v>0</v>
      </c>
      <c r="R170" s="141">
        <f t="shared" si="133"/>
        <v>41274.050000000003</v>
      </c>
      <c r="S170" s="210">
        <f t="shared" si="177"/>
        <v>0</v>
      </c>
      <c r="T170" s="141">
        <f t="shared" si="134"/>
        <v>51108.05</v>
      </c>
      <c r="U170" s="210">
        <f t="shared" si="177"/>
        <v>0</v>
      </c>
      <c r="V170" s="141">
        <f t="shared" si="135"/>
        <v>48738.38</v>
      </c>
      <c r="W170" s="210">
        <f t="shared" si="177"/>
        <v>0</v>
      </c>
      <c r="X170" s="210">
        <f>X169</f>
        <v>0</v>
      </c>
      <c r="Y170" s="141">
        <f t="shared" si="136"/>
        <v>45569.73</v>
      </c>
      <c r="Z170" s="210">
        <f t="shared" si="177"/>
        <v>0</v>
      </c>
      <c r="AA170" s="141">
        <f t="shared" si="137"/>
        <v>56496.39</v>
      </c>
      <c r="AB170" s="210">
        <f t="shared" si="177"/>
        <v>0</v>
      </c>
      <c r="AC170" s="210">
        <f t="shared" si="177"/>
        <v>0</v>
      </c>
      <c r="AD170" s="141">
        <f t="shared" si="138"/>
        <v>54161.08</v>
      </c>
      <c r="AE170" s="210">
        <f t="shared" si="177"/>
        <v>6</v>
      </c>
      <c r="AF170" s="141">
        <f t="shared" si="139"/>
        <v>67273.070000000007</v>
      </c>
      <c r="AG170" s="210">
        <f t="shared" si="177"/>
        <v>14</v>
      </c>
      <c r="AH170" s="141">
        <f t="shared" si="140"/>
        <v>64113.51</v>
      </c>
      <c r="AI170" s="210">
        <f t="shared" si="177"/>
        <v>0</v>
      </c>
      <c r="AJ170" s="210">
        <f>AJ169</f>
        <v>1266789.46</v>
      </c>
      <c r="AK170" s="141">
        <f t="shared" si="141"/>
        <v>29360.82</v>
      </c>
      <c r="AL170" s="210">
        <f t="shared" si="177"/>
        <v>0</v>
      </c>
      <c r="AM170" s="141">
        <f t="shared" si="142"/>
        <v>36645.26</v>
      </c>
      <c r="AN170" s="210">
        <f t="shared" si="177"/>
        <v>0</v>
      </c>
      <c r="AO170" s="141">
        <f t="shared" si="143"/>
        <v>34889.949999999997</v>
      </c>
      <c r="AP170" s="210">
        <f t="shared" si="177"/>
        <v>0</v>
      </c>
      <c r="AQ170" s="210">
        <f>AQ169</f>
        <v>0</v>
      </c>
      <c r="AR170" s="141">
        <f t="shared" si="144"/>
        <v>35718.379999999997</v>
      </c>
      <c r="AS170" s="210">
        <f t="shared" si="177"/>
        <v>0</v>
      </c>
      <c r="AT170" s="210">
        <f t="shared" si="177"/>
        <v>0</v>
      </c>
      <c r="AU170" s="857">
        <f t="shared" si="177"/>
        <v>21036036.550000001</v>
      </c>
      <c r="AV170" s="210">
        <f>'старое не смотреть'!D296</f>
        <v>28549640.890000001</v>
      </c>
      <c r="AW170" s="141">
        <f t="shared" si="145"/>
        <v>65258.22</v>
      </c>
      <c r="AX170" s="210">
        <f t="shared" si="177"/>
        <v>0</v>
      </c>
      <c r="AY170" s="141">
        <f t="shared" si="146"/>
        <v>81192.94</v>
      </c>
      <c r="AZ170" s="210">
        <f t="shared" si="177"/>
        <v>0</v>
      </c>
      <c r="BA170" s="141">
        <f t="shared" si="147"/>
        <v>77353.2</v>
      </c>
      <c r="BB170" s="210">
        <f t="shared" si="177"/>
        <v>0</v>
      </c>
      <c r="BC170" s="210">
        <f>BC169</f>
        <v>0</v>
      </c>
      <c r="BD170" s="141">
        <f t="shared" si="148"/>
        <v>77787.27</v>
      </c>
      <c r="BE170" s="210">
        <f t="shared" si="177"/>
        <v>0</v>
      </c>
      <c r="BF170" s="141">
        <f t="shared" si="149"/>
        <v>96908.93</v>
      </c>
      <c r="BG170" s="210">
        <f t="shared" si="177"/>
        <v>0</v>
      </c>
      <c r="BH170" s="210">
        <f t="shared" si="177"/>
        <v>0</v>
      </c>
      <c r="BI170" s="210">
        <f t="shared" si="177"/>
        <v>0</v>
      </c>
      <c r="BJ170" s="141">
        <f t="shared" si="150"/>
        <v>25708.01</v>
      </c>
      <c r="BK170" s="210">
        <f t="shared" si="177"/>
        <v>0</v>
      </c>
      <c r="BL170" s="141">
        <f t="shared" si="151"/>
        <v>27763.9</v>
      </c>
      <c r="BM170" s="210">
        <f t="shared" si="177"/>
        <v>0</v>
      </c>
      <c r="BN170" s="141">
        <f t="shared" si="152"/>
        <v>23851.91</v>
      </c>
      <c r="BO170" s="210">
        <f t="shared" si="177"/>
        <v>0</v>
      </c>
      <c r="BP170" s="210">
        <f>BP169</f>
        <v>0</v>
      </c>
      <c r="BQ170" s="141">
        <f t="shared" si="153"/>
        <v>42444.76</v>
      </c>
      <c r="BR170" s="210">
        <f t="shared" ref="BR170:BX170" si="178">BR169</f>
        <v>0</v>
      </c>
      <c r="BS170" s="141">
        <f t="shared" si="154"/>
        <v>46158.78</v>
      </c>
      <c r="BT170" s="210">
        <f t="shared" si="178"/>
        <v>0</v>
      </c>
      <c r="BU170" s="141">
        <f t="shared" si="155"/>
        <v>39091.67</v>
      </c>
      <c r="BV170" s="210">
        <f t="shared" si="178"/>
        <v>0</v>
      </c>
      <c r="BW170" s="210">
        <f t="shared" si="178"/>
        <v>0</v>
      </c>
      <c r="BX170" s="211">
        <f t="shared" si="178"/>
        <v>579</v>
      </c>
      <c r="BY170" s="178"/>
      <c r="BZ170" s="178"/>
    </row>
    <row r="171" spans="1:78" ht="18.75">
      <c r="A171" s="1649" t="s">
        <v>273</v>
      </c>
      <c r="B171" s="1650"/>
      <c r="C171" s="1651"/>
      <c r="D171" s="709">
        <f t="shared" si="127"/>
        <v>31250.82</v>
      </c>
      <c r="F171" s="709">
        <f t="shared" si="128"/>
        <v>38535.26</v>
      </c>
      <c r="H171" s="709">
        <f t="shared" si="129"/>
        <v>36779.949999999997</v>
      </c>
      <c r="K171" s="709">
        <f t="shared" si="130"/>
        <v>35546.49</v>
      </c>
      <c r="M171" s="709">
        <f t="shared" si="131"/>
        <v>43923.6</v>
      </c>
      <c r="O171" s="709">
        <f t="shared" si="132"/>
        <v>41904.99</v>
      </c>
      <c r="R171" s="709">
        <f t="shared" si="133"/>
        <v>41274.050000000003</v>
      </c>
      <c r="T171" s="709">
        <f t="shared" si="134"/>
        <v>51108.05</v>
      </c>
      <c r="V171" s="709">
        <f t="shared" si="135"/>
        <v>48738.38</v>
      </c>
      <c r="Y171" s="709">
        <f t="shared" si="136"/>
        <v>45569.73</v>
      </c>
      <c r="AA171" s="709">
        <f t="shared" si="137"/>
        <v>56496.39</v>
      </c>
      <c r="AD171" s="709">
        <f t="shared" si="138"/>
        <v>54161.08</v>
      </c>
      <c r="AF171" s="709">
        <f t="shared" si="139"/>
        <v>67273.070000000007</v>
      </c>
      <c r="AH171" s="709">
        <f t="shared" si="140"/>
        <v>64113.51</v>
      </c>
      <c r="AK171" s="709">
        <f t="shared" si="141"/>
        <v>29360.82</v>
      </c>
      <c r="AM171" s="709">
        <f t="shared" si="142"/>
        <v>36645.26</v>
      </c>
      <c r="AO171" s="709">
        <f t="shared" si="143"/>
        <v>34889.949999999997</v>
      </c>
      <c r="AR171" s="709">
        <f t="shared" si="144"/>
        <v>35718.379999999997</v>
      </c>
      <c r="AV171" s="725">
        <f>ROUND(AV176/AU176,3)</f>
        <v>1.5289999999999999</v>
      </c>
      <c r="AW171" s="709">
        <f t="shared" si="145"/>
        <v>65258.22</v>
      </c>
      <c r="AY171" s="709">
        <f t="shared" si="146"/>
        <v>81192.94</v>
      </c>
      <c r="BA171" s="709">
        <f t="shared" si="147"/>
        <v>77353.2</v>
      </c>
      <c r="BD171" s="709">
        <f t="shared" si="148"/>
        <v>77787.27</v>
      </c>
      <c r="BF171" s="709">
        <f t="shared" si="149"/>
        <v>96908.93</v>
      </c>
      <c r="BJ171" s="709">
        <f t="shared" si="150"/>
        <v>25708.01</v>
      </c>
      <c r="BL171" s="709">
        <f t="shared" si="151"/>
        <v>27763.9</v>
      </c>
      <c r="BN171" s="709">
        <f t="shared" si="152"/>
        <v>23851.91</v>
      </c>
      <c r="BQ171" s="709">
        <f t="shared" si="153"/>
        <v>42444.76</v>
      </c>
      <c r="BS171" s="709">
        <f t="shared" si="154"/>
        <v>46158.78</v>
      </c>
      <c r="BU171" s="709">
        <f t="shared" si="155"/>
        <v>39091.67</v>
      </c>
      <c r="BY171" s="178"/>
      <c r="BZ171" s="178"/>
    </row>
    <row r="172" spans="1:78" s="106" customFormat="1" ht="16.5">
      <c r="A172" s="95" t="s">
        <v>387</v>
      </c>
      <c r="B172" s="789" t="s">
        <v>524</v>
      </c>
      <c r="C172" s="147" t="s">
        <v>390</v>
      </c>
      <c r="D172" s="709">
        <f t="shared" si="127"/>
        <v>31250.82</v>
      </c>
      <c r="E172" s="104">
        <v>140</v>
      </c>
      <c r="F172" s="709">
        <f t="shared" si="128"/>
        <v>38535.26</v>
      </c>
      <c r="G172" s="104">
        <v>166</v>
      </c>
      <c r="H172" s="709">
        <f t="shared" si="129"/>
        <v>36779.949999999997</v>
      </c>
      <c r="I172" s="104">
        <v>33</v>
      </c>
      <c r="J172" s="711">
        <f>ROUND((D172*E172+F172*G172+H172*I172),2)</f>
        <v>11985706.310000001</v>
      </c>
      <c r="K172" s="709">
        <f t="shared" si="130"/>
        <v>35546.49</v>
      </c>
      <c r="L172" s="101"/>
      <c r="M172" s="709">
        <f t="shared" si="131"/>
        <v>43923.6</v>
      </c>
      <c r="N172" s="101"/>
      <c r="O172" s="709">
        <f t="shared" si="132"/>
        <v>41904.99</v>
      </c>
      <c r="P172" s="101"/>
      <c r="Q172" s="711">
        <f>ROUND((K172*L172+M172*N172+O172*P172),2)</f>
        <v>0</v>
      </c>
      <c r="R172" s="709">
        <f t="shared" si="133"/>
        <v>41274.050000000003</v>
      </c>
      <c r="S172" s="100"/>
      <c r="T172" s="709">
        <f t="shared" si="134"/>
        <v>51108.05</v>
      </c>
      <c r="U172" s="100"/>
      <c r="V172" s="709">
        <f t="shared" si="135"/>
        <v>48738.38</v>
      </c>
      <c r="W172" s="103"/>
      <c r="X172" s="711">
        <f>ROUND((R172*S172+T172*U172+V172*W172),2)</f>
        <v>0</v>
      </c>
      <c r="Y172" s="709">
        <f t="shared" si="136"/>
        <v>45569.73</v>
      </c>
      <c r="Z172" s="100"/>
      <c r="AA172" s="709">
        <f t="shared" si="137"/>
        <v>56496.39</v>
      </c>
      <c r="AB172" s="100"/>
      <c r="AC172" s="711">
        <f>ROUND((Y172*Z172+AA172*AB172),2)</f>
        <v>0</v>
      </c>
      <c r="AD172" s="709">
        <f t="shared" si="138"/>
        <v>54161.08</v>
      </c>
      <c r="AE172" s="101">
        <v>7</v>
      </c>
      <c r="AF172" s="709">
        <f t="shared" si="139"/>
        <v>67273.070000000007</v>
      </c>
      <c r="AG172" s="101">
        <v>9</v>
      </c>
      <c r="AH172" s="709">
        <f t="shared" si="140"/>
        <v>64113.51</v>
      </c>
      <c r="AI172" s="101">
        <v>0</v>
      </c>
      <c r="AJ172" s="711">
        <f>ROUND((AD172*AE172+AF172*AG172+AH172*AI172),2)</f>
        <v>984585.19</v>
      </c>
      <c r="AK172" s="709">
        <f t="shared" si="141"/>
        <v>29360.82</v>
      </c>
      <c r="AL172" s="101"/>
      <c r="AM172" s="709">
        <f t="shared" si="142"/>
        <v>36645.26</v>
      </c>
      <c r="AN172" s="101"/>
      <c r="AO172" s="709">
        <f t="shared" si="143"/>
        <v>34889.949999999997</v>
      </c>
      <c r="AP172" s="101"/>
      <c r="AQ172" s="711">
        <f>ROUND((AK172*AL172+AM172*AN172+AO172*AP172),2)</f>
        <v>0</v>
      </c>
      <c r="AR172" s="709">
        <f t="shared" si="144"/>
        <v>35718.379999999997</v>
      </c>
      <c r="AS172" s="104"/>
      <c r="AT172" s="711">
        <f>ROUND((AR172*AS172),2)</f>
        <v>0</v>
      </c>
      <c r="AU172" s="712">
        <f>AT172+AQ172+AJ172+AC172+X172+Q172+J172</f>
        <v>12970291.5</v>
      </c>
      <c r="AV172" s="105"/>
      <c r="AW172" s="709">
        <f t="shared" si="145"/>
        <v>65258.22</v>
      </c>
      <c r="AX172" s="102"/>
      <c r="AY172" s="709">
        <f t="shared" si="146"/>
        <v>81192.94</v>
      </c>
      <c r="AZ172" s="102"/>
      <c r="BA172" s="709">
        <f t="shared" si="147"/>
        <v>77353.2</v>
      </c>
      <c r="BB172" s="102"/>
      <c r="BC172" s="711">
        <f>ROUND((AW172*AX172+AY172*AZ172+BA172*BB172),2)</f>
        <v>0</v>
      </c>
      <c r="BD172" s="709">
        <f t="shared" si="148"/>
        <v>77787.27</v>
      </c>
      <c r="BE172" s="100"/>
      <c r="BF172" s="709">
        <f t="shared" si="149"/>
        <v>96908.93</v>
      </c>
      <c r="BG172" s="100"/>
      <c r="BH172" s="711">
        <f>ROUND((BD172*BE172+BF172*BG172),2)</f>
        <v>0</v>
      </c>
      <c r="BI172" s="713">
        <f>BH172+BC172</f>
        <v>0</v>
      </c>
      <c r="BJ172" s="709">
        <f t="shared" si="150"/>
        <v>25708.01</v>
      </c>
      <c r="BK172" s="100"/>
      <c r="BL172" s="709">
        <f t="shared" si="151"/>
        <v>27763.9</v>
      </c>
      <c r="BM172" s="100"/>
      <c r="BN172" s="709">
        <f t="shared" si="152"/>
        <v>23851.91</v>
      </c>
      <c r="BO172" s="100"/>
      <c r="BP172" s="711">
        <f>ROUND((BJ172*BK172+BL172*BM172+BN172*BO172),2)</f>
        <v>0</v>
      </c>
      <c r="BQ172" s="709">
        <f t="shared" si="153"/>
        <v>42444.76</v>
      </c>
      <c r="BR172" s="103"/>
      <c r="BS172" s="709">
        <f t="shared" si="154"/>
        <v>46158.78</v>
      </c>
      <c r="BT172" s="103"/>
      <c r="BU172" s="709">
        <f t="shared" si="155"/>
        <v>39091.67</v>
      </c>
      <c r="BV172" s="103"/>
      <c r="BW172" s="711">
        <f>ROUND((BQ172*BR172+BS172*BT172+BU172*BV172),2)</f>
        <v>0</v>
      </c>
      <c r="BX172" s="145">
        <f>BV172+BT172+BR172+BO172+BM172+BK172+BG172+BE172+BB172+AZ172+AX172+AS172+AP172+AN172+AL172+AI172+AG172+AE172+AB172+Z172+W172+U172+S172+P172+N172+L172+I172+G172+E172</f>
        <v>355</v>
      </c>
      <c r="BY172" s="107"/>
      <c r="BZ172" s="107"/>
    </row>
    <row r="173" spans="1:78" s="116" customFormat="1" ht="16.5">
      <c r="A173" s="108"/>
      <c r="B173" s="124" t="s">
        <v>525</v>
      </c>
      <c r="C173" s="147" t="s">
        <v>434</v>
      </c>
      <c r="D173" s="709">
        <f t="shared" si="127"/>
        <v>31250.82</v>
      </c>
      <c r="E173" s="114">
        <v>24</v>
      </c>
      <c r="F173" s="709">
        <f t="shared" si="128"/>
        <v>38535.26</v>
      </c>
      <c r="G173" s="114">
        <v>30</v>
      </c>
      <c r="H173" s="709">
        <f t="shared" si="129"/>
        <v>36779.949999999997</v>
      </c>
      <c r="I173" s="114">
        <v>0</v>
      </c>
      <c r="J173" s="711">
        <f>ROUND((D173*E173+F173*G173+H173*I173),2)</f>
        <v>1906077.48</v>
      </c>
      <c r="K173" s="709">
        <f t="shared" si="130"/>
        <v>35546.49</v>
      </c>
      <c r="L173" s="111"/>
      <c r="M173" s="709">
        <f t="shared" si="131"/>
        <v>43923.6</v>
      </c>
      <c r="N173" s="111"/>
      <c r="O173" s="709">
        <f t="shared" si="132"/>
        <v>41904.99</v>
      </c>
      <c r="P173" s="111"/>
      <c r="Q173" s="711">
        <f>ROUND((K173*L173+M173*N173+O173*P173),2)</f>
        <v>0</v>
      </c>
      <c r="R173" s="709">
        <f t="shared" si="133"/>
        <v>41274.050000000003</v>
      </c>
      <c r="S173" s="111"/>
      <c r="T173" s="709">
        <f t="shared" si="134"/>
        <v>51108.05</v>
      </c>
      <c r="U173" s="111"/>
      <c r="V173" s="709">
        <f t="shared" si="135"/>
        <v>48738.38</v>
      </c>
      <c r="W173" s="111"/>
      <c r="X173" s="711">
        <f>ROUND((R173*S173+T173*U173+V173*W173),2)</f>
        <v>0</v>
      </c>
      <c r="Y173" s="709">
        <f t="shared" si="136"/>
        <v>45569.73</v>
      </c>
      <c r="Z173" s="111"/>
      <c r="AA173" s="709">
        <f t="shared" si="137"/>
        <v>56496.39</v>
      </c>
      <c r="AB173" s="111"/>
      <c r="AC173" s="711">
        <f>ROUND((Y173*Z173+AA173*AB173),2)</f>
        <v>0</v>
      </c>
      <c r="AD173" s="709">
        <f t="shared" si="138"/>
        <v>54161.08</v>
      </c>
      <c r="AE173" s="113">
        <v>1</v>
      </c>
      <c r="AF173" s="709">
        <f t="shared" si="139"/>
        <v>67273.070000000007</v>
      </c>
      <c r="AG173" s="113">
        <v>0</v>
      </c>
      <c r="AH173" s="709">
        <f t="shared" si="140"/>
        <v>64113.51</v>
      </c>
      <c r="AI173" s="113">
        <v>0</v>
      </c>
      <c r="AJ173" s="711">
        <f>ROUND((AD173*AE173+AF173*AG173+AH173*AI173),2)</f>
        <v>54161.08</v>
      </c>
      <c r="AK173" s="709">
        <f t="shared" si="141"/>
        <v>29360.82</v>
      </c>
      <c r="AL173" s="113"/>
      <c r="AM173" s="709">
        <f t="shared" si="142"/>
        <v>36645.26</v>
      </c>
      <c r="AN173" s="113"/>
      <c r="AO173" s="709">
        <f t="shared" si="143"/>
        <v>34889.949999999997</v>
      </c>
      <c r="AP173" s="113"/>
      <c r="AQ173" s="711">
        <f>ROUND((AK173*AL173+AM173*AN173+AO173*AP173),2)</f>
        <v>0</v>
      </c>
      <c r="AR173" s="709">
        <f t="shared" si="144"/>
        <v>35718.379999999997</v>
      </c>
      <c r="AS173" s="114"/>
      <c r="AT173" s="711">
        <f>ROUND((AR173*AS173),2)</f>
        <v>0</v>
      </c>
      <c r="AU173" s="712">
        <f>AT173+AQ173+AJ173+AC173+X173+Q173+J173</f>
        <v>1960238.56</v>
      </c>
      <c r="AV173" s="115"/>
      <c r="AW173" s="709">
        <f t="shared" si="145"/>
        <v>65258.22</v>
      </c>
      <c r="AX173" s="113"/>
      <c r="AY173" s="709">
        <f t="shared" si="146"/>
        <v>81192.94</v>
      </c>
      <c r="AZ173" s="113"/>
      <c r="BA173" s="709">
        <f t="shared" si="147"/>
        <v>77353.2</v>
      </c>
      <c r="BB173" s="113"/>
      <c r="BC173" s="711">
        <f>ROUND((AW173*AX173+AY173*AZ173+BA173*BB173),2)</f>
        <v>0</v>
      </c>
      <c r="BD173" s="709">
        <f t="shared" si="148"/>
        <v>77787.27</v>
      </c>
      <c r="BE173" s="111"/>
      <c r="BF173" s="709">
        <f t="shared" si="149"/>
        <v>96908.93</v>
      </c>
      <c r="BG173" s="111"/>
      <c r="BH173" s="711">
        <f>ROUND((BD173*BE173+BF173*BG173),2)</f>
        <v>0</v>
      </c>
      <c r="BI173" s="713">
        <f>BH173+BC173</f>
        <v>0</v>
      </c>
      <c r="BJ173" s="709">
        <f t="shared" si="150"/>
        <v>25708.01</v>
      </c>
      <c r="BK173" s="111"/>
      <c r="BL173" s="709">
        <f t="shared" si="151"/>
        <v>27763.9</v>
      </c>
      <c r="BM173" s="111"/>
      <c r="BN173" s="709">
        <f t="shared" si="152"/>
        <v>23851.91</v>
      </c>
      <c r="BO173" s="111"/>
      <c r="BP173" s="711">
        <f>ROUND((BJ173*BK173+BL173*BM173+BN173*BO173),2)</f>
        <v>0</v>
      </c>
      <c r="BQ173" s="709">
        <f t="shared" si="153"/>
        <v>42444.76</v>
      </c>
      <c r="BR173" s="111"/>
      <c r="BS173" s="709">
        <f t="shared" si="154"/>
        <v>46158.78</v>
      </c>
      <c r="BT173" s="111"/>
      <c r="BU173" s="709">
        <f t="shared" si="155"/>
        <v>39091.67</v>
      </c>
      <c r="BV173" s="111"/>
      <c r="BW173" s="711">
        <f>ROUND((BQ173*BR173+BS173*BT173+BU173*BV173),2)</f>
        <v>0</v>
      </c>
      <c r="BX173" s="222">
        <f>BV173+BT173+BR173+BO173+BM173+BK173+BG173+BE173+BB173+AZ173+AX173+AS173+AP173+AN173+AL173+AI173+AG173+AE173+AB173+Z173+W173+U173+S173+P173+N173+L173+I173+G173+E173</f>
        <v>55</v>
      </c>
      <c r="BY173" s="117"/>
      <c r="BZ173" s="117"/>
    </row>
    <row r="174" spans="1:78" s="116" customFormat="1" ht="16.5">
      <c r="A174" s="118"/>
      <c r="B174" s="148" t="s">
        <v>526</v>
      </c>
      <c r="C174" s="149" t="s">
        <v>434</v>
      </c>
      <c r="D174" s="709">
        <f t="shared" si="127"/>
        <v>31250.82</v>
      </c>
      <c r="E174" s="114">
        <v>0</v>
      </c>
      <c r="F174" s="709">
        <f t="shared" si="128"/>
        <v>38535.26</v>
      </c>
      <c r="G174" s="114">
        <v>0</v>
      </c>
      <c r="H174" s="709">
        <f t="shared" si="129"/>
        <v>36779.949999999997</v>
      </c>
      <c r="I174" s="114">
        <v>0</v>
      </c>
      <c r="J174" s="711">
        <f>ROUND((D174*E174+F174*G174+H174*I174),2)</f>
        <v>0</v>
      </c>
      <c r="K174" s="709">
        <f t="shared" si="130"/>
        <v>35546.49</v>
      </c>
      <c r="L174" s="111"/>
      <c r="M174" s="709">
        <f t="shared" si="131"/>
        <v>43923.6</v>
      </c>
      <c r="N174" s="111"/>
      <c r="O174" s="709">
        <f t="shared" si="132"/>
        <v>41904.99</v>
      </c>
      <c r="P174" s="111"/>
      <c r="Q174" s="711">
        <f>ROUND((K174*L174+M174*N174+O174*P174),2)</f>
        <v>0</v>
      </c>
      <c r="R174" s="709">
        <f t="shared" si="133"/>
        <v>41274.050000000003</v>
      </c>
      <c r="S174" s="111"/>
      <c r="T174" s="709">
        <f t="shared" si="134"/>
        <v>51108.05</v>
      </c>
      <c r="U174" s="111"/>
      <c r="V174" s="709">
        <f t="shared" si="135"/>
        <v>48738.38</v>
      </c>
      <c r="W174" s="111"/>
      <c r="X174" s="711">
        <f>ROUND((R174*S174+T174*U174+V174*W174),2)</f>
        <v>0</v>
      </c>
      <c r="Y174" s="709">
        <f t="shared" si="136"/>
        <v>45569.73</v>
      </c>
      <c r="Z174" s="111"/>
      <c r="AA174" s="709">
        <f t="shared" si="137"/>
        <v>56496.39</v>
      </c>
      <c r="AB174" s="111"/>
      <c r="AC174" s="711">
        <f>ROUND((Y174*Z174+AA174*AB174),2)</f>
        <v>0</v>
      </c>
      <c r="AD174" s="709">
        <f t="shared" si="138"/>
        <v>54161.08</v>
      </c>
      <c r="AE174" s="113">
        <v>0</v>
      </c>
      <c r="AF174" s="709">
        <f t="shared" si="139"/>
        <v>67273.070000000007</v>
      </c>
      <c r="AG174" s="113">
        <v>0</v>
      </c>
      <c r="AH174" s="709">
        <f t="shared" si="140"/>
        <v>64113.51</v>
      </c>
      <c r="AI174" s="113">
        <v>0</v>
      </c>
      <c r="AJ174" s="711">
        <f>ROUND((AD174*AE174+AF174*AG174+AH174*AI174),2)</f>
        <v>0</v>
      </c>
      <c r="AK174" s="709">
        <f t="shared" si="141"/>
        <v>29360.82</v>
      </c>
      <c r="AL174" s="113"/>
      <c r="AM174" s="709">
        <f t="shared" si="142"/>
        <v>36645.26</v>
      </c>
      <c r="AN174" s="113"/>
      <c r="AO174" s="709">
        <f t="shared" si="143"/>
        <v>34889.949999999997</v>
      </c>
      <c r="AP174" s="113"/>
      <c r="AQ174" s="711">
        <f>ROUND((AK174*AL174+AM174*AN174+AO174*AP174),2)</f>
        <v>0</v>
      </c>
      <c r="AR174" s="709">
        <f t="shared" si="144"/>
        <v>35718.379999999997</v>
      </c>
      <c r="AS174" s="114"/>
      <c r="AT174" s="711">
        <f>ROUND((AR174*AS174),2)</f>
        <v>0</v>
      </c>
      <c r="AU174" s="712">
        <f>AT174+AQ174+AJ174+AC174+X174+Q174+J174</f>
        <v>0</v>
      </c>
      <c r="AV174" s="115"/>
      <c r="AW174" s="709">
        <f t="shared" si="145"/>
        <v>65258.22</v>
      </c>
      <c r="AX174" s="113"/>
      <c r="AY174" s="709">
        <f t="shared" si="146"/>
        <v>81192.94</v>
      </c>
      <c r="AZ174" s="113"/>
      <c r="BA174" s="709">
        <f t="shared" si="147"/>
        <v>77353.2</v>
      </c>
      <c r="BB174" s="113"/>
      <c r="BC174" s="711">
        <f>ROUND((AW174*AX174+AY174*AZ174+BA174*BB174),2)</f>
        <v>0</v>
      </c>
      <c r="BD174" s="709">
        <f t="shared" si="148"/>
        <v>77787.27</v>
      </c>
      <c r="BE174" s="111"/>
      <c r="BF174" s="709">
        <f t="shared" si="149"/>
        <v>96908.93</v>
      </c>
      <c r="BG174" s="111"/>
      <c r="BH174" s="711">
        <f>ROUND((BD174*BE174+BF174*BG174),2)</f>
        <v>0</v>
      </c>
      <c r="BI174" s="713">
        <f>BH174+BC174</f>
        <v>0</v>
      </c>
      <c r="BJ174" s="709">
        <f t="shared" si="150"/>
        <v>25708.01</v>
      </c>
      <c r="BK174" s="111"/>
      <c r="BL174" s="709">
        <f t="shared" si="151"/>
        <v>27763.9</v>
      </c>
      <c r="BM174" s="111"/>
      <c r="BN174" s="709">
        <f t="shared" si="152"/>
        <v>23851.91</v>
      </c>
      <c r="BO174" s="111"/>
      <c r="BP174" s="711">
        <f>ROUND((BJ174*BK174+BL174*BM174+BN174*BO174),2)</f>
        <v>0</v>
      </c>
      <c r="BQ174" s="709">
        <f t="shared" si="153"/>
        <v>42444.76</v>
      </c>
      <c r="BR174" s="111"/>
      <c r="BS174" s="709">
        <f t="shared" si="154"/>
        <v>46158.78</v>
      </c>
      <c r="BT174" s="111"/>
      <c r="BU174" s="709">
        <f t="shared" si="155"/>
        <v>39091.67</v>
      </c>
      <c r="BV174" s="111"/>
      <c r="BW174" s="711">
        <f>ROUND((BQ174*BR174+BS174*BT174+BU174*BV174),2)</f>
        <v>0</v>
      </c>
      <c r="BX174" s="222">
        <f>BV174+BT174+BR174+BO174+BM174+BK174+BG174+BE174+BB174+AZ174+AX174+AS174+AP174+AN174+AL174+AI174+AG174+AE174+AB174+Z174+W174+U174+S174+P174+N174+L174+I174+G174+E174</f>
        <v>0</v>
      </c>
      <c r="BY174" s="117"/>
      <c r="BZ174" s="117"/>
    </row>
    <row r="175" spans="1:78" s="796" customFormat="1" ht="33">
      <c r="A175" s="790"/>
      <c r="B175" s="791" t="s">
        <v>527</v>
      </c>
      <c r="C175" s="792"/>
      <c r="D175" s="709">
        <f t="shared" si="127"/>
        <v>31250.82</v>
      </c>
      <c r="E175" s="793">
        <f>SUM(E172:E174)</f>
        <v>164</v>
      </c>
      <c r="F175" s="709">
        <f t="shared" si="128"/>
        <v>38535.26</v>
      </c>
      <c r="G175" s="793">
        <f>SUM(G172:G174)</f>
        <v>196</v>
      </c>
      <c r="H175" s="709">
        <f t="shared" si="129"/>
        <v>36779.949999999997</v>
      </c>
      <c r="I175" s="793">
        <f>SUM(I172:I174)</f>
        <v>33</v>
      </c>
      <c r="J175" s="793">
        <f>SUM(J172:J174)</f>
        <v>13891783.790000001</v>
      </c>
      <c r="K175" s="709">
        <f t="shared" si="130"/>
        <v>35546.49</v>
      </c>
      <c r="L175" s="793">
        <f>SUM(L172:L174)</f>
        <v>0</v>
      </c>
      <c r="M175" s="709">
        <f t="shared" si="131"/>
        <v>43923.6</v>
      </c>
      <c r="N175" s="793">
        <f>SUM(N172:N174)</f>
        <v>0</v>
      </c>
      <c r="O175" s="709">
        <f t="shared" si="132"/>
        <v>41904.99</v>
      </c>
      <c r="P175" s="793">
        <f>SUM(P172:P174)</f>
        <v>0</v>
      </c>
      <c r="Q175" s="793">
        <f>SUM(Q172:Q174)</f>
        <v>0</v>
      </c>
      <c r="R175" s="709">
        <f t="shared" si="133"/>
        <v>41274.050000000003</v>
      </c>
      <c r="S175" s="793">
        <f>SUM(S172:S174)</f>
        <v>0</v>
      </c>
      <c r="T175" s="709">
        <f t="shared" si="134"/>
        <v>51108.05</v>
      </c>
      <c r="U175" s="793">
        <f>SUM(U172:U174)</f>
        <v>0</v>
      </c>
      <c r="V175" s="709">
        <f t="shared" si="135"/>
        <v>48738.38</v>
      </c>
      <c r="W175" s="793">
        <f>SUM(W172:W174)</f>
        <v>0</v>
      </c>
      <c r="X175" s="793">
        <f>SUM(X172:X174)</f>
        <v>0</v>
      </c>
      <c r="Y175" s="709">
        <f t="shared" si="136"/>
        <v>45569.73</v>
      </c>
      <c r="Z175" s="793">
        <f>SUM(Z172:Z174)</f>
        <v>0</v>
      </c>
      <c r="AA175" s="709">
        <f t="shared" si="137"/>
        <v>56496.39</v>
      </c>
      <c r="AB175" s="793">
        <f>SUM(AB172:AB174)</f>
        <v>0</v>
      </c>
      <c r="AC175" s="793">
        <f>SUM(AC172:AC174)</f>
        <v>0</v>
      </c>
      <c r="AD175" s="709">
        <f t="shared" si="138"/>
        <v>54161.08</v>
      </c>
      <c r="AE175" s="793">
        <f>SUM(AE172:AE174)</f>
        <v>8</v>
      </c>
      <c r="AF175" s="709">
        <f t="shared" si="139"/>
        <v>67273.070000000007</v>
      </c>
      <c r="AG175" s="793">
        <f>SUM(AG172:AG174)</f>
        <v>9</v>
      </c>
      <c r="AH175" s="709">
        <f t="shared" si="140"/>
        <v>64113.51</v>
      </c>
      <c r="AI175" s="793">
        <f>SUM(AI172:AI174)</f>
        <v>0</v>
      </c>
      <c r="AJ175" s="793">
        <f>SUM(AJ172:AJ174)</f>
        <v>1038746.2699999999</v>
      </c>
      <c r="AK175" s="709">
        <f t="shared" si="141"/>
        <v>29360.82</v>
      </c>
      <c r="AL175" s="793">
        <f>SUM(AL172:AL174)</f>
        <v>0</v>
      </c>
      <c r="AM175" s="709">
        <f t="shared" si="142"/>
        <v>36645.26</v>
      </c>
      <c r="AN175" s="793">
        <f>SUM(AN172:AN174)</f>
        <v>0</v>
      </c>
      <c r="AO175" s="709">
        <f t="shared" si="143"/>
        <v>34889.949999999997</v>
      </c>
      <c r="AP175" s="793">
        <f>SUM(AP172:AP174)</f>
        <v>0</v>
      </c>
      <c r="AQ175" s="793">
        <f>SUM(AQ172:AQ174)</f>
        <v>0</v>
      </c>
      <c r="AR175" s="709">
        <f t="shared" si="144"/>
        <v>35718.379999999997</v>
      </c>
      <c r="AS175" s="793">
        <f>SUM(AS172:AS174)</f>
        <v>0</v>
      </c>
      <c r="AT175" s="793">
        <f>SUM(AT172:AT174)</f>
        <v>0</v>
      </c>
      <c r="AU175" s="1070">
        <f>SUM(AU172:AU174)</f>
        <v>14930530.060000001</v>
      </c>
      <c r="AV175" s="793">
        <f>SUM(AV172:AV174)</f>
        <v>0</v>
      </c>
      <c r="AW175" s="709">
        <f t="shared" si="145"/>
        <v>65258.22</v>
      </c>
      <c r="AX175" s="793">
        <f>SUM(AX172:AX174)</f>
        <v>0</v>
      </c>
      <c r="AY175" s="709">
        <f t="shared" si="146"/>
        <v>81192.94</v>
      </c>
      <c r="AZ175" s="793">
        <f>SUM(AZ172:AZ174)</f>
        <v>0</v>
      </c>
      <c r="BA175" s="709">
        <f t="shared" si="147"/>
        <v>77353.2</v>
      </c>
      <c r="BB175" s="793">
        <f>SUM(BB172:BB174)</f>
        <v>0</v>
      </c>
      <c r="BC175" s="793">
        <f>SUM(BC172:BC174)</f>
        <v>0</v>
      </c>
      <c r="BD175" s="709">
        <f t="shared" si="148"/>
        <v>77787.27</v>
      </c>
      <c r="BE175" s="793">
        <f>SUM(BE172:BE174)</f>
        <v>0</v>
      </c>
      <c r="BF175" s="709">
        <f t="shared" si="149"/>
        <v>96908.93</v>
      </c>
      <c r="BG175" s="793">
        <f>SUM(BG172:BG174)</f>
        <v>0</v>
      </c>
      <c r="BH175" s="793">
        <f>SUM(BH172:BH174)</f>
        <v>0</v>
      </c>
      <c r="BI175" s="793">
        <f>SUM(BI172:BI174)</f>
        <v>0</v>
      </c>
      <c r="BJ175" s="709">
        <f t="shared" si="150"/>
        <v>25708.01</v>
      </c>
      <c r="BK175" s="793">
        <f>SUM(BK172:BK174)</f>
        <v>0</v>
      </c>
      <c r="BL175" s="709">
        <f t="shared" si="151"/>
        <v>27763.9</v>
      </c>
      <c r="BM175" s="793">
        <f>SUM(BM172:BM174)</f>
        <v>0</v>
      </c>
      <c r="BN175" s="709">
        <f t="shared" si="152"/>
        <v>23851.91</v>
      </c>
      <c r="BO175" s="793">
        <f>SUM(BO172:BO174)</f>
        <v>0</v>
      </c>
      <c r="BP175" s="793">
        <f>SUM(BP172:BP174)</f>
        <v>0</v>
      </c>
      <c r="BQ175" s="709">
        <f t="shared" si="153"/>
        <v>42444.76</v>
      </c>
      <c r="BR175" s="793">
        <f t="shared" ref="BR175:BX175" si="179">SUM(BR172:BR174)</f>
        <v>0</v>
      </c>
      <c r="BS175" s="709">
        <f t="shared" si="154"/>
        <v>46158.78</v>
      </c>
      <c r="BT175" s="793">
        <f t="shared" si="179"/>
        <v>0</v>
      </c>
      <c r="BU175" s="709">
        <f t="shared" si="155"/>
        <v>39091.67</v>
      </c>
      <c r="BV175" s="793">
        <f t="shared" si="179"/>
        <v>0</v>
      </c>
      <c r="BW175" s="793">
        <f t="shared" si="179"/>
        <v>0</v>
      </c>
      <c r="BX175" s="794">
        <f t="shared" si="179"/>
        <v>410</v>
      </c>
      <c r="BY175" s="795"/>
      <c r="BZ175" s="795"/>
    </row>
    <row r="176" spans="1:78" s="116" customFormat="1" ht="17.25" thickBot="1">
      <c r="A176" s="778"/>
      <c r="B176" s="779" t="s">
        <v>528</v>
      </c>
      <c r="C176" s="779"/>
      <c r="D176" s="709">
        <f t="shared" si="127"/>
        <v>31250.82</v>
      </c>
      <c r="E176" s="797">
        <f>E175</f>
        <v>164</v>
      </c>
      <c r="F176" s="709">
        <f t="shared" si="128"/>
        <v>38535.26</v>
      </c>
      <c r="G176" s="797">
        <f t="shared" ref="G176:BO176" si="180">G175</f>
        <v>196</v>
      </c>
      <c r="H176" s="709">
        <f t="shared" si="129"/>
        <v>36779.949999999997</v>
      </c>
      <c r="I176" s="797">
        <f t="shared" si="180"/>
        <v>33</v>
      </c>
      <c r="J176" s="797">
        <f t="shared" si="180"/>
        <v>13891783.790000001</v>
      </c>
      <c r="K176" s="709">
        <f t="shared" si="130"/>
        <v>35546.49</v>
      </c>
      <c r="L176" s="797">
        <f t="shared" si="180"/>
        <v>0</v>
      </c>
      <c r="M176" s="709">
        <f t="shared" si="131"/>
        <v>43923.6</v>
      </c>
      <c r="N176" s="797">
        <f t="shared" si="180"/>
        <v>0</v>
      </c>
      <c r="O176" s="709">
        <f t="shared" si="132"/>
        <v>41904.99</v>
      </c>
      <c r="P176" s="797">
        <f t="shared" si="180"/>
        <v>0</v>
      </c>
      <c r="Q176" s="797">
        <f>Q175</f>
        <v>0</v>
      </c>
      <c r="R176" s="709">
        <f t="shared" si="133"/>
        <v>41274.050000000003</v>
      </c>
      <c r="S176" s="797">
        <f t="shared" si="180"/>
        <v>0</v>
      </c>
      <c r="T176" s="709">
        <f t="shared" si="134"/>
        <v>51108.05</v>
      </c>
      <c r="U176" s="797">
        <f t="shared" si="180"/>
        <v>0</v>
      </c>
      <c r="V176" s="709">
        <f t="shared" si="135"/>
        <v>48738.38</v>
      </c>
      <c r="W176" s="797">
        <f t="shared" si="180"/>
        <v>0</v>
      </c>
      <c r="X176" s="797">
        <f>X175</f>
        <v>0</v>
      </c>
      <c r="Y176" s="709">
        <f t="shared" si="136"/>
        <v>45569.73</v>
      </c>
      <c r="Z176" s="797">
        <f t="shared" si="180"/>
        <v>0</v>
      </c>
      <c r="AA176" s="709">
        <f t="shared" si="137"/>
        <v>56496.39</v>
      </c>
      <c r="AB176" s="797">
        <f t="shared" si="180"/>
        <v>0</v>
      </c>
      <c r="AC176" s="797">
        <f t="shared" si="180"/>
        <v>0</v>
      </c>
      <c r="AD176" s="709">
        <f t="shared" si="138"/>
        <v>54161.08</v>
      </c>
      <c r="AE176" s="797">
        <f t="shared" si="180"/>
        <v>8</v>
      </c>
      <c r="AF176" s="709">
        <f t="shared" si="139"/>
        <v>67273.070000000007</v>
      </c>
      <c r="AG176" s="797">
        <f t="shared" si="180"/>
        <v>9</v>
      </c>
      <c r="AH176" s="709">
        <f t="shared" si="140"/>
        <v>64113.51</v>
      </c>
      <c r="AI176" s="797">
        <f t="shared" si="180"/>
        <v>0</v>
      </c>
      <c r="AJ176" s="797">
        <f>AJ175</f>
        <v>1038746.2699999999</v>
      </c>
      <c r="AK176" s="709">
        <f t="shared" si="141"/>
        <v>29360.82</v>
      </c>
      <c r="AL176" s="797">
        <f t="shared" si="180"/>
        <v>0</v>
      </c>
      <c r="AM176" s="709">
        <f t="shared" si="142"/>
        <v>36645.26</v>
      </c>
      <c r="AN176" s="797">
        <f t="shared" si="180"/>
        <v>0</v>
      </c>
      <c r="AO176" s="709">
        <f t="shared" si="143"/>
        <v>34889.949999999997</v>
      </c>
      <c r="AP176" s="797">
        <f t="shared" si="180"/>
        <v>0</v>
      </c>
      <c r="AQ176" s="797">
        <f>AQ175</f>
        <v>0</v>
      </c>
      <c r="AR176" s="709">
        <f t="shared" si="144"/>
        <v>35718.379999999997</v>
      </c>
      <c r="AS176" s="797">
        <f t="shared" si="180"/>
        <v>0</v>
      </c>
      <c r="AT176" s="797">
        <f t="shared" si="180"/>
        <v>0</v>
      </c>
      <c r="AU176" s="1071">
        <f t="shared" si="180"/>
        <v>14930530.060000001</v>
      </c>
      <c r="AV176" s="797">
        <f>'старое не смотреть'!D307</f>
        <v>22835780</v>
      </c>
      <c r="AW176" s="709">
        <f t="shared" si="145"/>
        <v>65258.22</v>
      </c>
      <c r="AX176" s="797">
        <f t="shared" si="180"/>
        <v>0</v>
      </c>
      <c r="AY176" s="709">
        <f t="shared" si="146"/>
        <v>81192.94</v>
      </c>
      <c r="AZ176" s="797">
        <f t="shared" si="180"/>
        <v>0</v>
      </c>
      <c r="BA176" s="709">
        <f t="shared" si="147"/>
        <v>77353.2</v>
      </c>
      <c r="BB176" s="797">
        <f t="shared" si="180"/>
        <v>0</v>
      </c>
      <c r="BC176" s="797">
        <f>BC175</f>
        <v>0</v>
      </c>
      <c r="BD176" s="709">
        <f t="shared" si="148"/>
        <v>77787.27</v>
      </c>
      <c r="BE176" s="797">
        <f t="shared" si="180"/>
        <v>0</v>
      </c>
      <c r="BF176" s="709">
        <f t="shared" si="149"/>
        <v>96908.93</v>
      </c>
      <c r="BG176" s="797">
        <f t="shared" si="180"/>
        <v>0</v>
      </c>
      <c r="BH176" s="797">
        <f t="shared" si="180"/>
        <v>0</v>
      </c>
      <c r="BI176" s="797">
        <f t="shared" si="180"/>
        <v>0</v>
      </c>
      <c r="BJ176" s="709">
        <f t="shared" si="150"/>
        <v>25708.01</v>
      </c>
      <c r="BK176" s="797">
        <f t="shared" si="180"/>
        <v>0</v>
      </c>
      <c r="BL176" s="709">
        <f t="shared" si="151"/>
        <v>27763.9</v>
      </c>
      <c r="BM176" s="797">
        <f t="shared" si="180"/>
        <v>0</v>
      </c>
      <c r="BN176" s="709">
        <f t="shared" si="152"/>
        <v>23851.91</v>
      </c>
      <c r="BO176" s="797">
        <f t="shared" si="180"/>
        <v>0</v>
      </c>
      <c r="BP176" s="797">
        <f>BP175</f>
        <v>0</v>
      </c>
      <c r="BQ176" s="709">
        <f t="shared" si="153"/>
        <v>42444.76</v>
      </c>
      <c r="BR176" s="797">
        <f t="shared" ref="BR176:BX176" si="181">BR175</f>
        <v>0</v>
      </c>
      <c r="BS176" s="709">
        <f t="shared" si="154"/>
        <v>46158.78</v>
      </c>
      <c r="BT176" s="797">
        <f t="shared" si="181"/>
        <v>0</v>
      </c>
      <c r="BU176" s="709">
        <f t="shared" si="155"/>
        <v>39091.67</v>
      </c>
      <c r="BV176" s="797">
        <f t="shared" si="181"/>
        <v>0</v>
      </c>
      <c r="BW176" s="797">
        <f t="shared" si="181"/>
        <v>0</v>
      </c>
      <c r="BX176" s="798">
        <f t="shared" si="181"/>
        <v>410</v>
      </c>
      <c r="BY176" s="117"/>
      <c r="BZ176" s="117"/>
    </row>
    <row r="177" spans="1:78" s="116" customFormat="1" ht="18.75">
      <c r="A177" s="1649" t="s">
        <v>278</v>
      </c>
      <c r="B177" s="1650"/>
      <c r="C177" s="1651"/>
      <c r="D177" s="709">
        <f t="shared" si="127"/>
        <v>31250.82</v>
      </c>
      <c r="E177" s="114"/>
      <c r="F177" s="709">
        <f t="shared" si="128"/>
        <v>38535.26</v>
      </c>
      <c r="G177" s="113"/>
      <c r="H177" s="709">
        <f t="shared" si="129"/>
        <v>36779.949999999997</v>
      </c>
      <c r="I177" s="113"/>
      <c r="J177" s="111"/>
      <c r="K177" s="709">
        <f t="shared" si="130"/>
        <v>35546.49</v>
      </c>
      <c r="L177" s="113"/>
      <c r="M177" s="709">
        <f t="shared" si="131"/>
        <v>43923.6</v>
      </c>
      <c r="N177" s="113"/>
      <c r="O177" s="709">
        <f t="shared" si="132"/>
        <v>41904.99</v>
      </c>
      <c r="P177" s="113"/>
      <c r="Q177" s="111"/>
      <c r="R177" s="709">
        <f t="shared" si="133"/>
        <v>41274.050000000003</v>
      </c>
      <c r="S177" s="111"/>
      <c r="T177" s="709">
        <f t="shared" si="134"/>
        <v>51108.05</v>
      </c>
      <c r="U177" s="111"/>
      <c r="V177" s="709">
        <f t="shared" si="135"/>
        <v>48738.38</v>
      </c>
      <c r="W177" s="111"/>
      <c r="X177" s="111"/>
      <c r="Y177" s="709">
        <f t="shared" si="136"/>
        <v>45569.73</v>
      </c>
      <c r="Z177" s="111"/>
      <c r="AA177" s="709">
        <f t="shared" si="137"/>
        <v>56496.39</v>
      </c>
      <c r="AB177" s="111"/>
      <c r="AC177" s="111"/>
      <c r="AD177" s="709">
        <f t="shared" si="138"/>
        <v>54161.08</v>
      </c>
      <c r="AE177" s="113"/>
      <c r="AF177" s="709">
        <f t="shared" si="139"/>
        <v>67273.070000000007</v>
      </c>
      <c r="AG177" s="113"/>
      <c r="AH177" s="709">
        <f t="shared" si="140"/>
        <v>64113.51</v>
      </c>
      <c r="AI177" s="113"/>
      <c r="AJ177" s="111"/>
      <c r="AK177" s="709">
        <f t="shared" si="141"/>
        <v>29360.82</v>
      </c>
      <c r="AL177" s="113"/>
      <c r="AM177" s="709">
        <f t="shared" si="142"/>
        <v>36645.26</v>
      </c>
      <c r="AN177" s="113"/>
      <c r="AO177" s="709">
        <f t="shared" si="143"/>
        <v>34889.949999999997</v>
      </c>
      <c r="AP177" s="113"/>
      <c r="AQ177" s="111"/>
      <c r="AR177" s="709">
        <f t="shared" si="144"/>
        <v>35718.379999999997</v>
      </c>
      <c r="AS177" s="114"/>
      <c r="AT177" s="711">
        <f>ROUND((AR177*AS177),2)</f>
        <v>0</v>
      </c>
      <c r="AU177" s="712">
        <f>AT177+AQ177+AJ177+AC177+X177+Q177+J177</f>
        <v>0</v>
      </c>
      <c r="AV177" s="799">
        <f>ROUND(AV182/AU182,3)</f>
        <v>1.339</v>
      </c>
      <c r="AW177" s="709">
        <f t="shared" si="145"/>
        <v>65258.22</v>
      </c>
      <c r="AX177" s="112"/>
      <c r="AY177" s="709">
        <f t="shared" si="146"/>
        <v>81192.94</v>
      </c>
      <c r="AZ177" s="112"/>
      <c r="BA177" s="709">
        <f t="shared" si="147"/>
        <v>77353.2</v>
      </c>
      <c r="BB177" s="112"/>
      <c r="BC177" s="111"/>
      <c r="BD177" s="709">
        <f t="shared" si="148"/>
        <v>77787.27</v>
      </c>
      <c r="BE177" s="111"/>
      <c r="BF177" s="709">
        <f t="shared" si="149"/>
        <v>96908.93</v>
      </c>
      <c r="BG177" s="111"/>
      <c r="BH177" s="711">
        <f>ROUND((BD177*BE177+BF177*BG177),2)</f>
        <v>0</v>
      </c>
      <c r="BI177" s="713">
        <f>BH177+BC177</f>
        <v>0</v>
      </c>
      <c r="BJ177" s="709">
        <f t="shared" si="150"/>
        <v>25708.01</v>
      </c>
      <c r="BK177" s="111"/>
      <c r="BL177" s="709">
        <f t="shared" si="151"/>
        <v>27763.9</v>
      </c>
      <c r="BM177" s="111"/>
      <c r="BN177" s="709">
        <f t="shared" si="152"/>
        <v>23851.91</v>
      </c>
      <c r="BO177" s="119"/>
      <c r="BP177" s="111"/>
      <c r="BQ177" s="709">
        <f t="shared" si="153"/>
        <v>42444.76</v>
      </c>
      <c r="BR177" s="111"/>
      <c r="BS177" s="709">
        <f t="shared" si="154"/>
        <v>46158.78</v>
      </c>
      <c r="BT177" s="111"/>
      <c r="BU177" s="709">
        <f t="shared" si="155"/>
        <v>39091.67</v>
      </c>
      <c r="BV177" s="111"/>
      <c r="BW177" s="111"/>
      <c r="BX177" s="222">
        <f>BV177+BT177+BR177+BO177+BM177+BK177+BG177+BE177+BB177+AZ177+AX177+AS177+AP177+AN177+AL177+AI177+AG177+AE177+AB177+Z177+W177+U177+S177+P177+N177+L177+I177+G177+E177</f>
        <v>0</v>
      </c>
      <c r="BY177" s="117"/>
      <c r="BZ177" s="117"/>
    </row>
    <row r="178" spans="1:78" s="106" customFormat="1" ht="16.5">
      <c r="A178" s="95" t="s">
        <v>387</v>
      </c>
      <c r="B178" s="172" t="s">
        <v>279</v>
      </c>
      <c r="C178" s="140" t="s">
        <v>388</v>
      </c>
      <c r="D178" s="709">
        <f t="shared" si="127"/>
        <v>31250.82</v>
      </c>
      <c r="E178" s="104">
        <v>218</v>
      </c>
      <c r="F178" s="709">
        <f t="shared" si="128"/>
        <v>38535.26</v>
      </c>
      <c r="G178" s="104">
        <v>303</v>
      </c>
      <c r="H178" s="709">
        <f t="shared" si="129"/>
        <v>36779.949999999997</v>
      </c>
      <c r="I178" s="104">
        <v>67</v>
      </c>
      <c r="J178" s="711">
        <f>ROUND((D178*E178+F178*G178+H178*I178),2)</f>
        <v>20953119.190000001</v>
      </c>
      <c r="K178" s="709">
        <f t="shared" si="130"/>
        <v>35546.49</v>
      </c>
      <c r="L178" s="101"/>
      <c r="M178" s="709">
        <f t="shared" si="131"/>
        <v>43923.6</v>
      </c>
      <c r="N178" s="101"/>
      <c r="O178" s="709">
        <f t="shared" si="132"/>
        <v>41904.99</v>
      </c>
      <c r="P178" s="101"/>
      <c r="Q178" s="711">
        <f>ROUND((K178*L178+M178*N178+O178*P178),2)</f>
        <v>0</v>
      </c>
      <c r="R178" s="709">
        <f t="shared" si="133"/>
        <v>41274.050000000003</v>
      </c>
      <c r="S178" s="100"/>
      <c r="T178" s="709">
        <f t="shared" si="134"/>
        <v>51108.05</v>
      </c>
      <c r="U178" s="100"/>
      <c r="V178" s="709">
        <f t="shared" si="135"/>
        <v>48738.38</v>
      </c>
      <c r="W178" s="103"/>
      <c r="X178" s="711">
        <f>ROUND((R178*S178+T178*U178+V178*W178),2)</f>
        <v>0</v>
      </c>
      <c r="Y178" s="709">
        <f t="shared" si="136"/>
        <v>45569.73</v>
      </c>
      <c r="Z178" s="100"/>
      <c r="AA178" s="709">
        <f t="shared" si="137"/>
        <v>56496.39</v>
      </c>
      <c r="AB178" s="100"/>
      <c r="AC178" s="711">
        <f>ROUND((Y178*Z178+AA178*AB178),2)</f>
        <v>0</v>
      </c>
      <c r="AD178" s="709">
        <f t="shared" si="138"/>
        <v>54161.08</v>
      </c>
      <c r="AE178" s="101"/>
      <c r="AF178" s="709">
        <f t="shared" si="139"/>
        <v>67273.070000000007</v>
      </c>
      <c r="AG178" s="101"/>
      <c r="AH178" s="709">
        <f t="shared" si="140"/>
        <v>64113.51</v>
      </c>
      <c r="AI178" s="101"/>
      <c r="AJ178" s="711">
        <f>ROUND((AD178*AE178+AF178*AG178+AH178*AI178),2)</f>
        <v>0</v>
      </c>
      <c r="AK178" s="709">
        <f t="shared" si="141"/>
        <v>29360.82</v>
      </c>
      <c r="AL178" s="101"/>
      <c r="AM178" s="709">
        <f t="shared" si="142"/>
        <v>36645.26</v>
      </c>
      <c r="AN178" s="101"/>
      <c r="AO178" s="709">
        <f t="shared" si="143"/>
        <v>34889.949999999997</v>
      </c>
      <c r="AP178" s="101"/>
      <c r="AQ178" s="711">
        <f>ROUND((AK178*AL178+AM178*AN178+AO178*AP178),2)</f>
        <v>0</v>
      </c>
      <c r="AR178" s="709">
        <f t="shared" si="144"/>
        <v>35718.379999999997</v>
      </c>
      <c r="AS178" s="104"/>
      <c r="AT178" s="711">
        <f>ROUND((AR178*AS178),2)</f>
        <v>0</v>
      </c>
      <c r="AU178" s="712">
        <f>AT178+AQ178+AJ178+AC178+X178+Q178+J178</f>
        <v>20953119.190000001</v>
      </c>
      <c r="AV178" s="105"/>
      <c r="AW178" s="709">
        <f t="shared" si="145"/>
        <v>65258.22</v>
      </c>
      <c r="AX178" s="102"/>
      <c r="AY178" s="709">
        <f t="shared" si="146"/>
        <v>81192.94</v>
      </c>
      <c r="AZ178" s="102"/>
      <c r="BA178" s="709">
        <f t="shared" si="147"/>
        <v>77353.2</v>
      </c>
      <c r="BB178" s="102"/>
      <c r="BC178" s="711">
        <f>ROUND((AW178*AX178+AY178*AZ178+BA178*BB178),2)</f>
        <v>0</v>
      </c>
      <c r="BD178" s="709">
        <f t="shared" si="148"/>
        <v>77787.27</v>
      </c>
      <c r="BE178" s="100"/>
      <c r="BF178" s="709">
        <f t="shared" si="149"/>
        <v>96908.93</v>
      </c>
      <c r="BG178" s="100"/>
      <c r="BH178" s="711">
        <f>ROUND((BD178*BE178+BF178*BG178),2)</f>
        <v>0</v>
      </c>
      <c r="BI178" s="713">
        <f>BH178+BC178</f>
        <v>0</v>
      </c>
      <c r="BJ178" s="709">
        <f t="shared" si="150"/>
        <v>25708.01</v>
      </c>
      <c r="BK178" s="100"/>
      <c r="BL178" s="709">
        <f t="shared" si="151"/>
        <v>27763.9</v>
      </c>
      <c r="BM178" s="100"/>
      <c r="BN178" s="709">
        <f t="shared" si="152"/>
        <v>23851.91</v>
      </c>
      <c r="BO178" s="100"/>
      <c r="BP178" s="711">
        <f>ROUND((BJ178*BK178+BL178*BM178+BN178*BO178),2)</f>
        <v>0</v>
      </c>
      <c r="BQ178" s="709">
        <f t="shared" si="153"/>
        <v>42444.76</v>
      </c>
      <c r="BR178" s="103"/>
      <c r="BS178" s="709">
        <f t="shared" si="154"/>
        <v>46158.78</v>
      </c>
      <c r="BT178" s="103"/>
      <c r="BU178" s="709">
        <f t="shared" si="155"/>
        <v>39091.67</v>
      </c>
      <c r="BV178" s="103"/>
      <c r="BW178" s="711">
        <f>ROUND((BQ178*BR178+BS178*BT178+BU178*BV178),2)</f>
        <v>0</v>
      </c>
      <c r="BX178" s="145">
        <f>BV178+BT178+BR178+BO178+BM178+BK178+BG178+BE178+BB178+AZ178+AX178+AS178+AP178+AN178+AL178+AI178+AG178+AE178+AB178+Z178+W178+U178+S178+P178+N178+L178+I178+G178+E178</f>
        <v>588</v>
      </c>
      <c r="BY178" s="107"/>
      <c r="BZ178" s="107"/>
    </row>
    <row r="179" spans="1:78" s="116" customFormat="1" ht="16.5">
      <c r="A179" s="108" t="s">
        <v>389</v>
      </c>
      <c r="B179" s="124" t="s">
        <v>529</v>
      </c>
      <c r="C179" s="147"/>
      <c r="D179" s="709">
        <f t="shared" si="127"/>
        <v>31250.82</v>
      </c>
      <c r="E179" s="114">
        <v>22</v>
      </c>
      <c r="F179" s="709">
        <f t="shared" si="128"/>
        <v>38535.26</v>
      </c>
      <c r="G179" s="114">
        <v>24</v>
      </c>
      <c r="H179" s="709">
        <f t="shared" si="129"/>
        <v>36779.949999999997</v>
      </c>
      <c r="I179" s="114">
        <v>0</v>
      </c>
      <c r="J179" s="711">
        <f>ROUND((D179*E179+F179*G179+H179*I179),2)</f>
        <v>1612364.28</v>
      </c>
      <c r="K179" s="709">
        <f t="shared" si="130"/>
        <v>35546.49</v>
      </c>
      <c r="L179" s="111"/>
      <c r="M179" s="709">
        <f t="shared" si="131"/>
        <v>43923.6</v>
      </c>
      <c r="N179" s="111"/>
      <c r="O179" s="709">
        <f t="shared" si="132"/>
        <v>41904.99</v>
      </c>
      <c r="P179" s="111"/>
      <c r="Q179" s="711">
        <f>ROUND((K179*L179+M179*N179+O179*P179),2)</f>
        <v>0</v>
      </c>
      <c r="R179" s="709">
        <f t="shared" si="133"/>
        <v>41274.050000000003</v>
      </c>
      <c r="S179" s="111"/>
      <c r="T179" s="709">
        <f t="shared" si="134"/>
        <v>51108.05</v>
      </c>
      <c r="U179" s="111"/>
      <c r="V179" s="709">
        <f t="shared" si="135"/>
        <v>48738.38</v>
      </c>
      <c r="W179" s="111"/>
      <c r="X179" s="711">
        <f>ROUND((R179*S179+T179*U179+V179*W179),2)</f>
        <v>0</v>
      </c>
      <c r="Y179" s="709">
        <f t="shared" si="136"/>
        <v>45569.73</v>
      </c>
      <c r="Z179" s="111"/>
      <c r="AA179" s="709">
        <f t="shared" si="137"/>
        <v>56496.39</v>
      </c>
      <c r="AB179" s="111"/>
      <c r="AC179" s="711">
        <f>ROUND((Y179*Z179+AA179*AB179),2)</f>
        <v>0</v>
      </c>
      <c r="AD179" s="709">
        <f t="shared" si="138"/>
        <v>54161.08</v>
      </c>
      <c r="AE179" s="113"/>
      <c r="AF179" s="709">
        <f t="shared" si="139"/>
        <v>67273.070000000007</v>
      </c>
      <c r="AG179" s="113"/>
      <c r="AH179" s="709">
        <f t="shared" si="140"/>
        <v>64113.51</v>
      </c>
      <c r="AI179" s="113"/>
      <c r="AJ179" s="711">
        <f>ROUND((AD179*AE179+AF179*AG179+AH179*AI179),2)</f>
        <v>0</v>
      </c>
      <c r="AK179" s="709">
        <f t="shared" si="141"/>
        <v>29360.82</v>
      </c>
      <c r="AL179" s="113"/>
      <c r="AM179" s="709">
        <f t="shared" si="142"/>
        <v>36645.26</v>
      </c>
      <c r="AN179" s="113"/>
      <c r="AO179" s="709">
        <f t="shared" si="143"/>
        <v>34889.949999999997</v>
      </c>
      <c r="AP179" s="113"/>
      <c r="AQ179" s="711">
        <f>ROUND((AK179*AL179+AM179*AN179+AO179*AP179),2)</f>
        <v>0</v>
      </c>
      <c r="AR179" s="709">
        <f t="shared" si="144"/>
        <v>35718.379999999997</v>
      </c>
      <c r="AS179" s="114"/>
      <c r="AT179" s="711">
        <f>ROUND((AR179*AS179),2)</f>
        <v>0</v>
      </c>
      <c r="AU179" s="712">
        <f>AT179+AQ179+AJ179+AC179+X179+Q179+J179</f>
        <v>1612364.28</v>
      </c>
      <c r="AV179" s="115"/>
      <c r="AW179" s="709">
        <f t="shared" si="145"/>
        <v>65258.22</v>
      </c>
      <c r="AX179" s="113"/>
      <c r="AY179" s="709">
        <f t="shared" si="146"/>
        <v>81192.94</v>
      </c>
      <c r="AZ179" s="113"/>
      <c r="BA179" s="709">
        <f t="shared" si="147"/>
        <v>77353.2</v>
      </c>
      <c r="BB179" s="113"/>
      <c r="BC179" s="711">
        <f>ROUND((AW179*AX179+AY179*AZ179+BA179*BB179),2)</f>
        <v>0</v>
      </c>
      <c r="BD179" s="709">
        <f t="shared" si="148"/>
        <v>77787.27</v>
      </c>
      <c r="BE179" s="111"/>
      <c r="BF179" s="709">
        <f t="shared" si="149"/>
        <v>96908.93</v>
      </c>
      <c r="BG179" s="111"/>
      <c r="BH179" s="711">
        <f>ROUND((BD179*BE179+BF179*BG179),2)</f>
        <v>0</v>
      </c>
      <c r="BI179" s="713">
        <f>BH179+BC179</f>
        <v>0</v>
      </c>
      <c r="BJ179" s="709">
        <f t="shared" si="150"/>
        <v>25708.01</v>
      </c>
      <c r="BK179" s="111"/>
      <c r="BL179" s="709">
        <f t="shared" si="151"/>
        <v>27763.9</v>
      </c>
      <c r="BM179" s="111"/>
      <c r="BN179" s="709">
        <f t="shared" si="152"/>
        <v>23851.91</v>
      </c>
      <c r="BO179" s="111"/>
      <c r="BP179" s="711">
        <f>ROUND((BJ179*BK179+BL179*BM179+BN179*BO179),2)</f>
        <v>0</v>
      </c>
      <c r="BQ179" s="709">
        <f t="shared" si="153"/>
        <v>42444.76</v>
      </c>
      <c r="BR179" s="111"/>
      <c r="BS179" s="709">
        <f t="shared" si="154"/>
        <v>46158.78</v>
      </c>
      <c r="BT179" s="111"/>
      <c r="BU179" s="709">
        <f t="shared" si="155"/>
        <v>39091.67</v>
      </c>
      <c r="BV179" s="111"/>
      <c r="BW179" s="711">
        <f>ROUND((BQ179*BR179+BS179*BT179+BU179*BV179),2)</f>
        <v>0</v>
      </c>
      <c r="BX179" s="222">
        <f>BV179+BT179+BR179+BO179+BM179+BK179+BG179+BE179+BB179+AZ179+AX179+AS179+AP179+AN179+AL179+AI179+AG179+AE179+AB179+Z179+W179+U179+S179+P179+N179+L179+I179+G179+E179</f>
        <v>46</v>
      </c>
      <c r="BY179" s="117"/>
      <c r="BZ179" s="117"/>
    </row>
    <row r="180" spans="1:78" s="116" customFormat="1" ht="33">
      <c r="A180" s="118">
        <v>3</v>
      </c>
      <c r="B180" s="148" t="s">
        <v>530</v>
      </c>
      <c r="C180" s="149"/>
      <c r="D180" s="709">
        <f t="shared" si="127"/>
        <v>31250.82</v>
      </c>
      <c r="E180" s="114">
        <v>13</v>
      </c>
      <c r="F180" s="709">
        <f t="shared" si="128"/>
        <v>38535.26</v>
      </c>
      <c r="G180" s="114">
        <v>15</v>
      </c>
      <c r="H180" s="709">
        <f t="shared" si="129"/>
        <v>36779.949999999997</v>
      </c>
      <c r="I180" s="114">
        <v>0</v>
      </c>
      <c r="J180" s="711">
        <f>ROUND((D180*E180+F180*G180+H180*I180),2)</f>
        <v>984289.56</v>
      </c>
      <c r="K180" s="709">
        <f t="shared" si="130"/>
        <v>35546.49</v>
      </c>
      <c r="L180" s="111"/>
      <c r="M180" s="709">
        <f t="shared" si="131"/>
        <v>43923.6</v>
      </c>
      <c r="N180" s="111"/>
      <c r="O180" s="709">
        <f t="shared" si="132"/>
        <v>41904.99</v>
      </c>
      <c r="P180" s="111"/>
      <c r="Q180" s="711">
        <f>ROUND((K180*L180+M180*N180+O180*P180),2)</f>
        <v>0</v>
      </c>
      <c r="R180" s="709">
        <f t="shared" si="133"/>
        <v>41274.050000000003</v>
      </c>
      <c r="S180" s="111"/>
      <c r="T180" s="709">
        <f t="shared" si="134"/>
        <v>51108.05</v>
      </c>
      <c r="U180" s="111"/>
      <c r="V180" s="709">
        <f t="shared" si="135"/>
        <v>48738.38</v>
      </c>
      <c r="W180" s="111"/>
      <c r="X180" s="711">
        <f>ROUND((R180*S180+T180*U180+V180*W180),2)</f>
        <v>0</v>
      </c>
      <c r="Y180" s="709">
        <f t="shared" si="136"/>
        <v>45569.73</v>
      </c>
      <c r="Z180" s="111"/>
      <c r="AA180" s="709">
        <f t="shared" si="137"/>
        <v>56496.39</v>
      </c>
      <c r="AB180" s="111"/>
      <c r="AC180" s="711">
        <f>ROUND((Y180*Z180+AA180*AB180),2)</f>
        <v>0</v>
      </c>
      <c r="AD180" s="709">
        <f t="shared" si="138"/>
        <v>54161.08</v>
      </c>
      <c r="AE180" s="113"/>
      <c r="AF180" s="709">
        <f t="shared" si="139"/>
        <v>67273.070000000007</v>
      </c>
      <c r="AG180" s="113"/>
      <c r="AH180" s="709">
        <f t="shared" si="140"/>
        <v>64113.51</v>
      </c>
      <c r="AI180" s="113"/>
      <c r="AJ180" s="711">
        <f>ROUND((AD180*AE180+AF180*AG180+AH180*AI180),2)</f>
        <v>0</v>
      </c>
      <c r="AK180" s="709">
        <f t="shared" si="141"/>
        <v>29360.82</v>
      </c>
      <c r="AL180" s="113"/>
      <c r="AM180" s="709">
        <f t="shared" si="142"/>
        <v>36645.26</v>
      </c>
      <c r="AN180" s="113"/>
      <c r="AO180" s="709">
        <f t="shared" si="143"/>
        <v>34889.949999999997</v>
      </c>
      <c r="AP180" s="113"/>
      <c r="AQ180" s="711">
        <f>ROUND((AK180*AL180+AM180*AN180+AO180*AP180),2)</f>
        <v>0</v>
      </c>
      <c r="AR180" s="709">
        <f t="shared" si="144"/>
        <v>35718.379999999997</v>
      </c>
      <c r="AS180" s="114"/>
      <c r="AT180" s="711">
        <f>ROUND((AR180*AS180),2)</f>
        <v>0</v>
      </c>
      <c r="AU180" s="712">
        <f>AT180+AQ180+AJ180+AC180+X180+Q180+J180</f>
        <v>984289.56</v>
      </c>
      <c r="AV180" s="115"/>
      <c r="AW180" s="709">
        <f t="shared" si="145"/>
        <v>65258.22</v>
      </c>
      <c r="AX180" s="113"/>
      <c r="AY180" s="709">
        <f t="shared" si="146"/>
        <v>81192.94</v>
      </c>
      <c r="AZ180" s="113"/>
      <c r="BA180" s="709">
        <f t="shared" si="147"/>
        <v>77353.2</v>
      </c>
      <c r="BB180" s="113"/>
      <c r="BC180" s="711">
        <f>ROUND((AW180*AX180+AY180*AZ180+BA180*BB180),2)</f>
        <v>0</v>
      </c>
      <c r="BD180" s="709">
        <f t="shared" si="148"/>
        <v>77787.27</v>
      </c>
      <c r="BE180" s="111"/>
      <c r="BF180" s="709">
        <f t="shared" si="149"/>
        <v>96908.93</v>
      </c>
      <c r="BG180" s="111"/>
      <c r="BH180" s="711">
        <f>ROUND((BD180*BE180+BF180*BG180),2)</f>
        <v>0</v>
      </c>
      <c r="BI180" s="713">
        <f>BH180+BC180</f>
        <v>0</v>
      </c>
      <c r="BJ180" s="709">
        <f t="shared" si="150"/>
        <v>25708.01</v>
      </c>
      <c r="BK180" s="111"/>
      <c r="BL180" s="709">
        <f t="shared" si="151"/>
        <v>27763.9</v>
      </c>
      <c r="BM180" s="111"/>
      <c r="BN180" s="709">
        <f t="shared" si="152"/>
        <v>23851.91</v>
      </c>
      <c r="BO180" s="111"/>
      <c r="BP180" s="711">
        <f>ROUND((BJ180*BK180+BL180*BM180+BN180*BO180),2)</f>
        <v>0</v>
      </c>
      <c r="BQ180" s="709">
        <f t="shared" si="153"/>
        <v>42444.76</v>
      </c>
      <c r="BR180" s="111"/>
      <c r="BS180" s="709">
        <f t="shared" si="154"/>
        <v>46158.78</v>
      </c>
      <c r="BT180" s="111"/>
      <c r="BU180" s="709">
        <f t="shared" si="155"/>
        <v>39091.67</v>
      </c>
      <c r="BV180" s="111"/>
      <c r="BW180" s="711">
        <f>ROUND((BQ180*BR180+BS180*BT180+BU180*BV180),2)</f>
        <v>0</v>
      </c>
      <c r="BX180" s="222">
        <f>BV180+BT180+BR180+BO180+BM180+BK180+BG180+BE180+BB180+AZ180+AX180+AS180+AP180+AN180+AL180+AI180+AG180+AE180+AB180+Z180+W180+U180+S180+P180+N180+L180+I180+G180+E180</f>
        <v>28</v>
      </c>
      <c r="BY180" s="117"/>
      <c r="BZ180" s="117"/>
    </row>
    <row r="181" spans="1:78" s="805" customFormat="1" ht="16.5">
      <c r="A181" s="800"/>
      <c r="B181" s="801" t="s">
        <v>531</v>
      </c>
      <c r="C181" s="792"/>
      <c r="D181" s="709">
        <f t="shared" si="127"/>
        <v>31250.82</v>
      </c>
      <c r="E181" s="802">
        <f>SUM(E178:E180)</f>
        <v>253</v>
      </c>
      <c r="F181" s="709">
        <f t="shared" si="128"/>
        <v>38535.26</v>
      </c>
      <c r="G181" s="802">
        <f t="shared" ref="G181:BO181" si="182">SUM(G178:G180)</f>
        <v>342</v>
      </c>
      <c r="H181" s="709">
        <f t="shared" si="129"/>
        <v>36779.949999999997</v>
      </c>
      <c r="I181" s="802">
        <f t="shared" si="182"/>
        <v>67</v>
      </c>
      <c r="J181" s="802">
        <f t="shared" si="182"/>
        <v>23549773.030000001</v>
      </c>
      <c r="K181" s="709">
        <f t="shared" si="130"/>
        <v>35546.49</v>
      </c>
      <c r="L181" s="802">
        <f t="shared" si="182"/>
        <v>0</v>
      </c>
      <c r="M181" s="709">
        <f t="shared" si="131"/>
        <v>43923.6</v>
      </c>
      <c r="N181" s="802">
        <f t="shared" si="182"/>
        <v>0</v>
      </c>
      <c r="O181" s="709">
        <f t="shared" si="132"/>
        <v>41904.99</v>
      </c>
      <c r="P181" s="802">
        <f t="shared" si="182"/>
        <v>0</v>
      </c>
      <c r="Q181" s="802">
        <f>SUM(Q178:Q180)</f>
        <v>0</v>
      </c>
      <c r="R181" s="709">
        <f t="shared" si="133"/>
        <v>41274.050000000003</v>
      </c>
      <c r="S181" s="802">
        <f t="shared" si="182"/>
        <v>0</v>
      </c>
      <c r="T181" s="709">
        <f t="shared" si="134"/>
        <v>51108.05</v>
      </c>
      <c r="U181" s="802">
        <f t="shared" si="182"/>
        <v>0</v>
      </c>
      <c r="V181" s="709">
        <f t="shared" si="135"/>
        <v>48738.38</v>
      </c>
      <c r="W181" s="802">
        <f t="shared" si="182"/>
        <v>0</v>
      </c>
      <c r="X181" s="802">
        <f>SUM(X178:X180)</f>
        <v>0</v>
      </c>
      <c r="Y181" s="709">
        <f t="shared" si="136"/>
        <v>45569.73</v>
      </c>
      <c r="Z181" s="802">
        <f t="shared" si="182"/>
        <v>0</v>
      </c>
      <c r="AA181" s="709">
        <f t="shared" si="137"/>
        <v>56496.39</v>
      </c>
      <c r="AB181" s="802">
        <f t="shared" si="182"/>
        <v>0</v>
      </c>
      <c r="AC181" s="802">
        <f t="shared" si="182"/>
        <v>0</v>
      </c>
      <c r="AD181" s="709">
        <f t="shared" si="138"/>
        <v>54161.08</v>
      </c>
      <c r="AE181" s="802">
        <f t="shared" si="182"/>
        <v>0</v>
      </c>
      <c r="AF181" s="709">
        <f t="shared" si="139"/>
        <v>67273.070000000007</v>
      </c>
      <c r="AG181" s="802">
        <f t="shared" si="182"/>
        <v>0</v>
      </c>
      <c r="AH181" s="709">
        <f t="shared" si="140"/>
        <v>64113.51</v>
      </c>
      <c r="AI181" s="802">
        <f t="shared" si="182"/>
        <v>0</v>
      </c>
      <c r="AJ181" s="802">
        <f>SUM(AJ178:AJ180)</f>
        <v>0</v>
      </c>
      <c r="AK181" s="709">
        <f t="shared" si="141"/>
        <v>29360.82</v>
      </c>
      <c r="AL181" s="802">
        <f t="shared" si="182"/>
        <v>0</v>
      </c>
      <c r="AM181" s="709">
        <f t="shared" si="142"/>
        <v>36645.26</v>
      </c>
      <c r="AN181" s="802">
        <f t="shared" si="182"/>
        <v>0</v>
      </c>
      <c r="AO181" s="709">
        <f t="shared" si="143"/>
        <v>34889.949999999997</v>
      </c>
      <c r="AP181" s="802">
        <f t="shared" si="182"/>
        <v>0</v>
      </c>
      <c r="AQ181" s="802">
        <f>SUM(AQ178:AQ180)</f>
        <v>0</v>
      </c>
      <c r="AR181" s="709">
        <f t="shared" si="144"/>
        <v>35718.379999999997</v>
      </c>
      <c r="AS181" s="802">
        <f t="shared" si="182"/>
        <v>0</v>
      </c>
      <c r="AT181" s="802">
        <f t="shared" si="182"/>
        <v>0</v>
      </c>
      <c r="AU181" s="1072">
        <f t="shared" si="182"/>
        <v>23549773.030000001</v>
      </c>
      <c r="AV181" s="802">
        <f t="shared" si="182"/>
        <v>0</v>
      </c>
      <c r="AW181" s="709">
        <f t="shared" si="145"/>
        <v>65258.22</v>
      </c>
      <c r="AX181" s="802">
        <f t="shared" si="182"/>
        <v>0</v>
      </c>
      <c r="AY181" s="709">
        <f t="shared" si="146"/>
        <v>81192.94</v>
      </c>
      <c r="AZ181" s="802">
        <f t="shared" si="182"/>
        <v>0</v>
      </c>
      <c r="BA181" s="709">
        <f t="shared" si="147"/>
        <v>77353.2</v>
      </c>
      <c r="BB181" s="802">
        <f t="shared" si="182"/>
        <v>0</v>
      </c>
      <c r="BC181" s="802">
        <f>SUM(BC178:BC180)</f>
        <v>0</v>
      </c>
      <c r="BD181" s="709">
        <f t="shared" si="148"/>
        <v>77787.27</v>
      </c>
      <c r="BE181" s="802">
        <f t="shared" si="182"/>
        <v>0</v>
      </c>
      <c r="BF181" s="709">
        <f t="shared" si="149"/>
        <v>96908.93</v>
      </c>
      <c r="BG181" s="802">
        <f t="shared" si="182"/>
        <v>0</v>
      </c>
      <c r="BH181" s="802">
        <f t="shared" si="182"/>
        <v>0</v>
      </c>
      <c r="BI181" s="802">
        <f t="shared" si="182"/>
        <v>0</v>
      </c>
      <c r="BJ181" s="709">
        <f t="shared" si="150"/>
        <v>25708.01</v>
      </c>
      <c r="BK181" s="802">
        <f t="shared" si="182"/>
        <v>0</v>
      </c>
      <c r="BL181" s="709">
        <f t="shared" si="151"/>
        <v>27763.9</v>
      </c>
      <c r="BM181" s="802">
        <f t="shared" si="182"/>
        <v>0</v>
      </c>
      <c r="BN181" s="709">
        <f t="shared" si="152"/>
        <v>23851.91</v>
      </c>
      <c r="BO181" s="802">
        <f t="shared" si="182"/>
        <v>0</v>
      </c>
      <c r="BP181" s="802">
        <f>SUM(BP178:BP180)</f>
        <v>0</v>
      </c>
      <c r="BQ181" s="709">
        <f t="shared" si="153"/>
        <v>42444.76</v>
      </c>
      <c r="BR181" s="802">
        <f t="shared" ref="BR181:BX181" si="183">SUM(BR178:BR180)</f>
        <v>0</v>
      </c>
      <c r="BS181" s="709">
        <f t="shared" si="154"/>
        <v>46158.78</v>
      </c>
      <c r="BT181" s="802">
        <f t="shared" si="183"/>
        <v>0</v>
      </c>
      <c r="BU181" s="709">
        <f t="shared" si="155"/>
        <v>39091.67</v>
      </c>
      <c r="BV181" s="802">
        <f t="shared" si="183"/>
        <v>0</v>
      </c>
      <c r="BW181" s="802">
        <f t="shared" si="183"/>
        <v>0</v>
      </c>
      <c r="BX181" s="803">
        <f t="shared" si="183"/>
        <v>662</v>
      </c>
      <c r="BY181" s="804"/>
      <c r="BZ181" s="804"/>
    </row>
    <row r="182" spans="1:78" ht="17.25" thickBot="1">
      <c r="A182" s="778"/>
      <c r="B182" s="779" t="s">
        <v>532</v>
      </c>
      <c r="C182" s="779"/>
      <c r="D182" s="709">
        <f t="shared" si="127"/>
        <v>31250.82</v>
      </c>
      <c r="E182" s="797">
        <f>E181</f>
        <v>253</v>
      </c>
      <c r="F182" s="709">
        <f t="shared" si="128"/>
        <v>38535.26</v>
      </c>
      <c r="G182" s="797">
        <f t="shared" ref="G182:BO182" si="184">G181</f>
        <v>342</v>
      </c>
      <c r="H182" s="709">
        <f t="shared" si="129"/>
        <v>36779.949999999997</v>
      </c>
      <c r="I182" s="797">
        <f t="shared" si="184"/>
        <v>67</v>
      </c>
      <c r="J182" s="797">
        <f t="shared" si="184"/>
        <v>23549773.030000001</v>
      </c>
      <c r="K182" s="709">
        <f t="shared" si="130"/>
        <v>35546.49</v>
      </c>
      <c r="L182" s="797">
        <f t="shared" si="184"/>
        <v>0</v>
      </c>
      <c r="M182" s="709">
        <f t="shared" si="131"/>
        <v>43923.6</v>
      </c>
      <c r="N182" s="797">
        <f t="shared" si="184"/>
        <v>0</v>
      </c>
      <c r="O182" s="709">
        <f t="shared" si="132"/>
        <v>41904.99</v>
      </c>
      <c r="P182" s="797">
        <f t="shared" si="184"/>
        <v>0</v>
      </c>
      <c r="Q182" s="797">
        <f>Q181</f>
        <v>0</v>
      </c>
      <c r="R182" s="709">
        <f t="shared" si="133"/>
        <v>41274.050000000003</v>
      </c>
      <c r="S182" s="797">
        <f t="shared" si="184"/>
        <v>0</v>
      </c>
      <c r="T182" s="709">
        <f t="shared" si="134"/>
        <v>51108.05</v>
      </c>
      <c r="U182" s="797">
        <f t="shared" si="184"/>
        <v>0</v>
      </c>
      <c r="V182" s="709">
        <f t="shared" si="135"/>
        <v>48738.38</v>
      </c>
      <c r="W182" s="797">
        <f t="shared" si="184"/>
        <v>0</v>
      </c>
      <c r="X182" s="797">
        <f>X181</f>
        <v>0</v>
      </c>
      <c r="Y182" s="709">
        <f t="shared" si="136"/>
        <v>45569.73</v>
      </c>
      <c r="Z182" s="797">
        <f t="shared" si="184"/>
        <v>0</v>
      </c>
      <c r="AA182" s="709">
        <f t="shared" si="137"/>
        <v>56496.39</v>
      </c>
      <c r="AB182" s="797">
        <f t="shared" si="184"/>
        <v>0</v>
      </c>
      <c r="AC182" s="797">
        <f t="shared" si="184"/>
        <v>0</v>
      </c>
      <c r="AD182" s="709">
        <f t="shared" si="138"/>
        <v>54161.08</v>
      </c>
      <c r="AE182" s="797">
        <f t="shared" si="184"/>
        <v>0</v>
      </c>
      <c r="AF182" s="709">
        <f t="shared" si="139"/>
        <v>67273.070000000007</v>
      </c>
      <c r="AG182" s="797">
        <f t="shared" si="184"/>
        <v>0</v>
      </c>
      <c r="AH182" s="709">
        <f t="shared" si="140"/>
        <v>64113.51</v>
      </c>
      <c r="AI182" s="797">
        <f t="shared" si="184"/>
        <v>0</v>
      </c>
      <c r="AJ182" s="797">
        <f>AJ181</f>
        <v>0</v>
      </c>
      <c r="AK182" s="709">
        <f t="shared" si="141"/>
        <v>29360.82</v>
      </c>
      <c r="AL182" s="797">
        <f t="shared" si="184"/>
        <v>0</v>
      </c>
      <c r="AM182" s="709">
        <f t="shared" si="142"/>
        <v>36645.26</v>
      </c>
      <c r="AN182" s="797">
        <f t="shared" si="184"/>
        <v>0</v>
      </c>
      <c r="AO182" s="709">
        <f t="shared" si="143"/>
        <v>34889.949999999997</v>
      </c>
      <c r="AP182" s="797">
        <f t="shared" si="184"/>
        <v>0</v>
      </c>
      <c r="AQ182" s="797">
        <f>AQ181</f>
        <v>0</v>
      </c>
      <c r="AR182" s="709">
        <f t="shared" si="144"/>
        <v>35718.379999999997</v>
      </c>
      <c r="AS182" s="797">
        <f t="shared" si="184"/>
        <v>0</v>
      </c>
      <c r="AT182" s="797">
        <f t="shared" si="184"/>
        <v>0</v>
      </c>
      <c r="AU182" s="1071">
        <f t="shared" si="184"/>
        <v>23549773.030000001</v>
      </c>
      <c r="AV182" s="797">
        <f>'старое не смотреть'!D317</f>
        <v>31544800</v>
      </c>
      <c r="AW182" s="709">
        <f t="shared" si="145"/>
        <v>65258.22</v>
      </c>
      <c r="AX182" s="797">
        <f t="shared" si="184"/>
        <v>0</v>
      </c>
      <c r="AY182" s="709">
        <f t="shared" si="146"/>
        <v>81192.94</v>
      </c>
      <c r="AZ182" s="797">
        <f t="shared" si="184"/>
        <v>0</v>
      </c>
      <c r="BA182" s="709">
        <f t="shared" si="147"/>
        <v>77353.2</v>
      </c>
      <c r="BB182" s="797">
        <f t="shared" si="184"/>
        <v>0</v>
      </c>
      <c r="BC182" s="797">
        <f>BC181</f>
        <v>0</v>
      </c>
      <c r="BD182" s="709">
        <f t="shared" si="148"/>
        <v>77787.27</v>
      </c>
      <c r="BE182" s="797">
        <f t="shared" si="184"/>
        <v>0</v>
      </c>
      <c r="BF182" s="709">
        <f t="shared" si="149"/>
        <v>96908.93</v>
      </c>
      <c r="BG182" s="797">
        <f t="shared" si="184"/>
        <v>0</v>
      </c>
      <c r="BH182" s="797">
        <f t="shared" si="184"/>
        <v>0</v>
      </c>
      <c r="BI182" s="797">
        <f t="shared" si="184"/>
        <v>0</v>
      </c>
      <c r="BJ182" s="709">
        <f t="shared" si="150"/>
        <v>25708.01</v>
      </c>
      <c r="BK182" s="797">
        <f t="shared" si="184"/>
        <v>0</v>
      </c>
      <c r="BL182" s="709">
        <f t="shared" si="151"/>
        <v>27763.9</v>
      </c>
      <c r="BM182" s="797">
        <f t="shared" si="184"/>
        <v>0</v>
      </c>
      <c r="BN182" s="709">
        <f t="shared" si="152"/>
        <v>23851.91</v>
      </c>
      <c r="BO182" s="797">
        <f t="shared" si="184"/>
        <v>0</v>
      </c>
      <c r="BP182" s="797">
        <f>BP181</f>
        <v>0</v>
      </c>
      <c r="BQ182" s="709">
        <f t="shared" si="153"/>
        <v>42444.76</v>
      </c>
      <c r="BR182" s="797">
        <f t="shared" ref="BR182:BX182" si="185">BR181</f>
        <v>0</v>
      </c>
      <c r="BS182" s="709">
        <f t="shared" si="154"/>
        <v>46158.78</v>
      </c>
      <c r="BT182" s="797">
        <f t="shared" si="185"/>
        <v>0</v>
      </c>
      <c r="BU182" s="709">
        <f t="shared" si="155"/>
        <v>39091.67</v>
      </c>
      <c r="BV182" s="797">
        <f t="shared" si="185"/>
        <v>0</v>
      </c>
      <c r="BW182" s="797">
        <f t="shared" si="185"/>
        <v>0</v>
      </c>
      <c r="BX182" s="798">
        <f t="shared" si="185"/>
        <v>662</v>
      </c>
      <c r="BY182" s="178"/>
      <c r="BZ182" s="178"/>
    </row>
    <row r="183" spans="1:78" ht="23.25">
      <c r="A183" s="1631" t="s">
        <v>533</v>
      </c>
      <c r="B183" s="1632"/>
      <c r="C183" s="1633"/>
      <c r="D183" s="141">
        <f t="shared" si="127"/>
        <v>31250.82</v>
      </c>
      <c r="E183" s="350"/>
      <c r="F183" s="141">
        <f t="shared" si="128"/>
        <v>38535.26</v>
      </c>
      <c r="G183" s="350"/>
      <c r="H183" s="141">
        <f t="shared" si="129"/>
        <v>36779.949999999997</v>
      </c>
      <c r="I183" s="350"/>
      <c r="J183" s="131"/>
      <c r="K183" s="141">
        <f t="shared" si="130"/>
        <v>35546.49</v>
      </c>
      <c r="L183" s="131"/>
      <c r="M183" s="141">
        <f t="shared" si="131"/>
        <v>43923.6</v>
      </c>
      <c r="N183" s="351"/>
      <c r="O183" s="141">
        <f t="shared" si="132"/>
        <v>41904.99</v>
      </c>
      <c r="P183" s="132"/>
      <c r="Q183" s="131"/>
      <c r="R183" s="141">
        <f t="shared" si="133"/>
        <v>41274.050000000003</v>
      </c>
      <c r="S183" s="132"/>
      <c r="T183" s="141">
        <f t="shared" si="134"/>
        <v>51108.05</v>
      </c>
      <c r="U183" s="132"/>
      <c r="V183" s="141">
        <f t="shared" si="135"/>
        <v>48738.38</v>
      </c>
      <c r="W183" s="132"/>
      <c r="X183" s="131"/>
      <c r="Y183" s="141">
        <f t="shared" si="136"/>
        <v>45569.73</v>
      </c>
      <c r="Z183" s="350"/>
      <c r="AA183" s="141">
        <f t="shared" si="137"/>
        <v>56496.39</v>
      </c>
      <c r="AB183" s="350"/>
      <c r="AC183" s="132"/>
      <c r="AD183" s="141">
        <f t="shared" si="138"/>
        <v>54161.08</v>
      </c>
      <c r="AE183" s="350"/>
      <c r="AF183" s="141">
        <f t="shared" si="139"/>
        <v>67273.070000000007</v>
      </c>
      <c r="AG183" s="350"/>
      <c r="AH183" s="141">
        <f t="shared" si="140"/>
        <v>64113.51</v>
      </c>
      <c r="AI183" s="350"/>
      <c r="AJ183" s="131"/>
      <c r="AK183" s="141">
        <f t="shared" si="141"/>
        <v>29360.82</v>
      </c>
      <c r="AL183" s="132"/>
      <c r="AM183" s="141">
        <f t="shared" si="142"/>
        <v>36645.26</v>
      </c>
      <c r="AN183" s="132"/>
      <c r="AO183" s="141">
        <f t="shared" si="143"/>
        <v>34889.949999999997</v>
      </c>
      <c r="AP183" s="132"/>
      <c r="AQ183" s="131"/>
      <c r="AR183" s="141">
        <f t="shared" si="144"/>
        <v>35718.379999999997</v>
      </c>
      <c r="AS183" s="350"/>
      <c r="AT183" s="132"/>
      <c r="AU183" s="1073"/>
      <c r="AV183" s="352">
        <f>ROUND(AV199/AU199,3)</f>
        <v>1.3</v>
      </c>
      <c r="AW183" s="141">
        <f t="shared" si="145"/>
        <v>65258.22</v>
      </c>
      <c r="AX183" s="132"/>
      <c r="AY183" s="141">
        <f t="shared" si="146"/>
        <v>81192.94</v>
      </c>
      <c r="AZ183" s="132"/>
      <c r="BA183" s="141">
        <f t="shared" si="147"/>
        <v>77353.2</v>
      </c>
      <c r="BB183" s="132"/>
      <c r="BC183" s="131"/>
      <c r="BD183" s="141">
        <f t="shared" si="148"/>
        <v>77787.27</v>
      </c>
      <c r="BE183" s="132"/>
      <c r="BF183" s="141">
        <f t="shared" si="149"/>
        <v>96908.93</v>
      </c>
      <c r="BG183" s="132"/>
      <c r="BH183" s="130"/>
      <c r="BI183" s="132"/>
      <c r="BJ183" s="141">
        <f t="shared" si="150"/>
        <v>25708.01</v>
      </c>
      <c r="BK183" s="132"/>
      <c r="BL183" s="141">
        <f t="shared" si="151"/>
        <v>27763.9</v>
      </c>
      <c r="BM183" s="350"/>
      <c r="BN183" s="141">
        <f t="shared" si="152"/>
        <v>23851.91</v>
      </c>
      <c r="BO183" s="350"/>
      <c r="BP183" s="131"/>
      <c r="BQ183" s="141">
        <f t="shared" si="153"/>
        <v>42444.76</v>
      </c>
      <c r="BR183" s="132"/>
      <c r="BS183" s="141">
        <f t="shared" si="154"/>
        <v>46158.78</v>
      </c>
      <c r="BT183" s="132"/>
      <c r="BU183" s="141">
        <f t="shared" si="155"/>
        <v>39091.67</v>
      </c>
      <c r="BV183" s="132"/>
      <c r="BW183" s="131"/>
      <c r="BX183" s="128"/>
      <c r="BY183" s="178"/>
      <c r="BZ183" s="178"/>
    </row>
    <row r="184" spans="1:78" s="106" customFormat="1" ht="37.5">
      <c r="A184" s="95" t="s">
        <v>387</v>
      </c>
      <c r="B184" s="353" t="s">
        <v>287</v>
      </c>
      <c r="C184" s="336" t="s">
        <v>410</v>
      </c>
      <c r="D184" s="141">
        <f t="shared" si="127"/>
        <v>31250.82</v>
      </c>
      <c r="E184" s="313">
        <v>254</v>
      </c>
      <c r="F184" s="141">
        <f t="shared" si="128"/>
        <v>38535.26</v>
      </c>
      <c r="G184" s="313">
        <v>264</v>
      </c>
      <c r="H184" s="141">
        <f t="shared" si="129"/>
        <v>36779.949999999997</v>
      </c>
      <c r="I184" s="313">
        <v>66</v>
      </c>
      <c r="J184" s="142">
        <f>ROUND((D184*E184+F184*G184+H184*I184),2)</f>
        <v>20538493.620000001</v>
      </c>
      <c r="K184" s="141">
        <f t="shared" si="130"/>
        <v>35546.49</v>
      </c>
      <c r="L184" s="354"/>
      <c r="M184" s="141">
        <f t="shared" si="131"/>
        <v>43923.6</v>
      </c>
      <c r="N184" s="354"/>
      <c r="O184" s="141">
        <f t="shared" si="132"/>
        <v>41904.99</v>
      </c>
      <c r="P184" s="354"/>
      <c r="Q184" s="142">
        <f>ROUND((K184*L184+M184*N184+O184*P184),2)</f>
        <v>0</v>
      </c>
      <c r="R184" s="141">
        <f t="shared" si="133"/>
        <v>41274.050000000003</v>
      </c>
      <c r="S184" s="354"/>
      <c r="T184" s="141">
        <f t="shared" si="134"/>
        <v>51108.05</v>
      </c>
      <c r="U184" s="354"/>
      <c r="V184" s="141">
        <f t="shared" si="135"/>
        <v>48738.38</v>
      </c>
      <c r="W184" s="354"/>
      <c r="X184" s="142">
        <f>ROUND((R184*S184+T184*U184+V184*W184),2)</f>
        <v>0</v>
      </c>
      <c r="Y184" s="141">
        <f t="shared" si="136"/>
        <v>45569.73</v>
      </c>
      <c r="Z184" s="313"/>
      <c r="AA184" s="141">
        <f t="shared" si="137"/>
        <v>56496.39</v>
      </c>
      <c r="AB184" s="313"/>
      <c r="AC184" s="142">
        <f>ROUND((Y184*Z184+AA184*AB184),2)</f>
        <v>0</v>
      </c>
      <c r="AD184" s="141">
        <f t="shared" si="138"/>
        <v>54161.08</v>
      </c>
      <c r="AE184" s="313">
        <v>1</v>
      </c>
      <c r="AF184" s="141">
        <f t="shared" si="139"/>
        <v>67273.070000000007</v>
      </c>
      <c r="AG184" s="313">
        <v>12</v>
      </c>
      <c r="AH184" s="141">
        <f t="shared" si="140"/>
        <v>64113.51</v>
      </c>
      <c r="AI184" s="313"/>
      <c r="AJ184" s="142">
        <f>ROUND((AD184*AE184+AF184*AG184+AH184*AI184),2)</f>
        <v>861437.92</v>
      </c>
      <c r="AK184" s="141">
        <f t="shared" si="141"/>
        <v>29360.82</v>
      </c>
      <c r="AL184" s="354"/>
      <c r="AM184" s="141">
        <f t="shared" si="142"/>
        <v>36645.26</v>
      </c>
      <c r="AN184" s="354"/>
      <c r="AO184" s="141">
        <f t="shared" si="143"/>
        <v>34889.949999999997</v>
      </c>
      <c r="AP184" s="354"/>
      <c r="AQ184" s="142">
        <f>ROUND((AK184*AL184+AM184*AN184+AO184*AP184),2)</f>
        <v>0</v>
      </c>
      <c r="AR184" s="141">
        <f t="shared" si="144"/>
        <v>35718.379999999997</v>
      </c>
      <c r="AS184" s="313"/>
      <c r="AT184" s="142">
        <f>ROUND((AR184*AS184),2)</f>
        <v>0</v>
      </c>
      <c r="AU184" s="143">
        <f>AT184+AQ184+AJ184+AC184+X184+Q184+J184</f>
        <v>21399931.540000003</v>
      </c>
      <c r="AV184" s="354"/>
      <c r="AW184" s="141">
        <f t="shared" si="145"/>
        <v>65258.22</v>
      </c>
      <c r="AX184" s="355"/>
      <c r="AY184" s="141">
        <f t="shared" si="146"/>
        <v>81192.94</v>
      </c>
      <c r="AZ184" s="355"/>
      <c r="BA184" s="141">
        <f t="shared" si="147"/>
        <v>77353.2</v>
      </c>
      <c r="BB184" s="355"/>
      <c r="BC184" s="142">
        <f>ROUND((AW184*AX184+AY184*AZ184+BA184*BB184),2)</f>
        <v>0</v>
      </c>
      <c r="BD184" s="141">
        <f t="shared" si="148"/>
        <v>77787.27</v>
      </c>
      <c r="BE184" s="354"/>
      <c r="BF184" s="141">
        <f t="shared" si="149"/>
        <v>96908.93</v>
      </c>
      <c r="BG184" s="354"/>
      <c r="BH184" s="142">
        <f>ROUND((BD184*BE184+BF184*BG184),2)</f>
        <v>0</v>
      </c>
      <c r="BI184" s="144">
        <f>BH184+BC184</f>
        <v>0</v>
      </c>
      <c r="BJ184" s="141">
        <f t="shared" si="150"/>
        <v>25708.01</v>
      </c>
      <c r="BK184" s="354"/>
      <c r="BL184" s="141">
        <f t="shared" si="151"/>
        <v>27763.9</v>
      </c>
      <c r="BM184" s="313">
        <v>9</v>
      </c>
      <c r="BN184" s="141">
        <f t="shared" si="152"/>
        <v>23851.91</v>
      </c>
      <c r="BO184" s="313">
        <v>18</v>
      </c>
      <c r="BP184" s="142">
        <f>ROUND((BJ184*BK184+BL184*BM184+BN184*BO184),2)</f>
        <v>679209.48</v>
      </c>
      <c r="BQ184" s="141">
        <f t="shared" si="153"/>
        <v>42444.76</v>
      </c>
      <c r="BR184" s="354"/>
      <c r="BS184" s="141">
        <f t="shared" si="154"/>
        <v>46158.78</v>
      </c>
      <c r="BT184" s="354"/>
      <c r="BU184" s="141">
        <f t="shared" si="155"/>
        <v>39091.67</v>
      </c>
      <c r="BV184" s="354"/>
      <c r="BW184" s="142">
        <f>ROUND((BQ184*BR184+BS184*BT184+BU184*BV184),2)</f>
        <v>0</v>
      </c>
      <c r="BX184" s="356">
        <f>BV184+BT184+BR184+BO184+BM184+BK184+BG184+BE184+BB184+AZ184+AX184+AS184+AP184+AN184+AL184+AI184+AG184+AE184+AB184+Z184+W184+U184+S184+P184+N184+L184+I184+G184+E184</f>
        <v>624</v>
      </c>
      <c r="BY184" s="107">
        <f>E184+G184+I184+AE184+AG184+AI184+AS184+BM184+BO184</f>
        <v>624</v>
      </c>
      <c r="BZ184" s="107"/>
    </row>
    <row r="185" spans="1:78" s="116" customFormat="1" ht="56.25">
      <c r="A185" s="117"/>
      <c r="B185" s="357" t="s">
        <v>534</v>
      </c>
      <c r="C185" s="358"/>
      <c r="D185" s="141">
        <f t="shared" si="127"/>
        <v>31250.82</v>
      </c>
      <c r="E185" s="313">
        <v>18</v>
      </c>
      <c r="F185" s="141">
        <f t="shared" si="128"/>
        <v>38535.26</v>
      </c>
      <c r="G185" s="313">
        <v>14</v>
      </c>
      <c r="H185" s="141">
        <f t="shared" si="129"/>
        <v>36779.949999999997</v>
      </c>
      <c r="I185" s="313"/>
      <c r="J185" s="142">
        <f>ROUND((D185*E185+F185*G185+H185*I185),2)</f>
        <v>1102008.3999999999</v>
      </c>
      <c r="K185" s="141">
        <f t="shared" si="130"/>
        <v>35546.49</v>
      </c>
      <c r="L185" s="126"/>
      <c r="M185" s="141">
        <f t="shared" si="131"/>
        <v>43923.6</v>
      </c>
      <c r="N185" s="126"/>
      <c r="O185" s="141">
        <f t="shared" si="132"/>
        <v>41904.99</v>
      </c>
      <c r="P185" s="126"/>
      <c r="Q185" s="142">
        <f>ROUND((K185*L185+M185*N185+O185*P185),2)</f>
        <v>0</v>
      </c>
      <c r="R185" s="141">
        <f t="shared" si="133"/>
        <v>41274.050000000003</v>
      </c>
      <c r="S185" s="126"/>
      <c r="T185" s="141">
        <f t="shared" si="134"/>
        <v>51108.05</v>
      </c>
      <c r="U185" s="126"/>
      <c r="V185" s="141">
        <f t="shared" si="135"/>
        <v>48738.38</v>
      </c>
      <c r="W185" s="126"/>
      <c r="X185" s="142">
        <f>ROUND((R185*S185+T185*U185+V185*W185),2)</f>
        <v>0</v>
      </c>
      <c r="Y185" s="141">
        <f t="shared" si="136"/>
        <v>45569.73</v>
      </c>
      <c r="Z185" s="313"/>
      <c r="AA185" s="141">
        <f t="shared" si="137"/>
        <v>56496.39</v>
      </c>
      <c r="AB185" s="313"/>
      <c r="AC185" s="142">
        <f>ROUND((Y185*Z185+AA185*AB185),2)</f>
        <v>0</v>
      </c>
      <c r="AD185" s="141">
        <f t="shared" si="138"/>
        <v>54161.08</v>
      </c>
      <c r="AE185" s="313"/>
      <c r="AF185" s="141">
        <f t="shared" si="139"/>
        <v>67273.070000000007</v>
      </c>
      <c r="AG185" s="313"/>
      <c r="AH185" s="141">
        <f t="shared" si="140"/>
        <v>64113.51</v>
      </c>
      <c r="AI185" s="313"/>
      <c r="AJ185" s="142">
        <f>ROUND((AD185*AE185+AF185*AG185+AH185*AI185),2)</f>
        <v>0</v>
      </c>
      <c r="AK185" s="141">
        <f t="shared" si="141"/>
        <v>29360.82</v>
      </c>
      <c r="AL185" s="126"/>
      <c r="AM185" s="141">
        <f t="shared" si="142"/>
        <v>36645.26</v>
      </c>
      <c r="AN185" s="126"/>
      <c r="AO185" s="141">
        <f t="shared" si="143"/>
        <v>34889.949999999997</v>
      </c>
      <c r="AP185" s="126"/>
      <c r="AQ185" s="142">
        <f>ROUND((AK185*AL185+AM185*AN185+AO185*AP185),2)</f>
        <v>0</v>
      </c>
      <c r="AR185" s="141">
        <f t="shared" si="144"/>
        <v>35718.379999999997</v>
      </c>
      <c r="AS185" s="313"/>
      <c r="AT185" s="142">
        <f>ROUND((AR185*AS185),2)</f>
        <v>0</v>
      </c>
      <c r="AU185" s="143">
        <f>AT185+AQ185+AJ185+AC185+X185+Q185+J185</f>
        <v>1102008.3999999999</v>
      </c>
      <c r="AV185" s="126"/>
      <c r="AW185" s="141">
        <f t="shared" si="145"/>
        <v>65258.22</v>
      </c>
      <c r="AX185" s="126"/>
      <c r="AY185" s="141">
        <f t="shared" si="146"/>
        <v>81192.94</v>
      </c>
      <c r="AZ185" s="126"/>
      <c r="BA185" s="141">
        <f t="shared" si="147"/>
        <v>77353.2</v>
      </c>
      <c r="BB185" s="126"/>
      <c r="BC185" s="142">
        <f>ROUND((AW185*AX185+AY185*AZ185+BA185*BB185),2)</f>
        <v>0</v>
      </c>
      <c r="BD185" s="141">
        <f t="shared" si="148"/>
        <v>77787.27</v>
      </c>
      <c r="BE185" s="126"/>
      <c r="BF185" s="141">
        <f t="shared" si="149"/>
        <v>96908.93</v>
      </c>
      <c r="BG185" s="126"/>
      <c r="BH185" s="142">
        <f>ROUND((BD185*BE185+BF185*BG185),2)</f>
        <v>0</v>
      </c>
      <c r="BI185" s="144">
        <f>BH185+BC185</f>
        <v>0</v>
      </c>
      <c r="BJ185" s="141">
        <f t="shared" si="150"/>
        <v>25708.01</v>
      </c>
      <c r="BK185" s="126"/>
      <c r="BL185" s="141">
        <f t="shared" si="151"/>
        <v>27763.9</v>
      </c>
      <c r="BM185" s="313"/>
      <c r="BN185" s="141">
        <f t="shared" si="152"/>
        <v>23851.91</v>
      </c>
      <c r="BO185" s="313"/>
      <c r="BP185" s="142">
        <f>ROUND((BJ185*BK185+BL185*BM185+BN185*BO185),2)</f>
        <v>0</v>
      </c>
      <c r="BQ185" s="141">
        <f t="shared" si="153"/>
        <v>42444.76</v>
      </c>
      <c r="BR185" s="126"/>
      <c r="BS185" s="141">
        <f t="shared" si="154"/>
        <v>46158.78</v>
      </c>
      <c r="BT185" s="126"/>
      <c r="BU185" s="141">
        <f t="shared" si="155"/>
        <v>39091.67</v>
      </c>
      <c r="BV185" s="126"/>
      <c r="BW185" s="142">
        <f>ROUND((BQ185*BR185+BS185*BT185+BU185*BV185),2)</f>
        <v>0</v>
      </c>
      <c r="BX185" s="359">
        <f>BV185+BT185+BR185+BO185+BM185+BK185+BG185+BE185+BB185+AZ185+AX185+AS185+AP185+AN185+AL185+AI185+AG185+AE185+AB185+Z185+W185+U185+S185+P185+N185+L185+I185+G185+E185</f>
        <v>32</v>
      </c>
      <c r="BY185" s="360">
        <f t="shared" ref="BY185:BY198" si="186">E185+G185+I185+AE185+AG185+AI185+AS185+BM185+BO185</f>
        <v>32</v>
      </c>
      <c r="BZ185" s="117"/>
    </row>
    <row r="186" spans="1:78" s="116" customFormat="1" ht="56.25">
      <c r="A186" s="108"/>
      <c r="B186" s="357" t="s">
        <v>535</v>
      </c>
      <c r="C186" s="268"/>
      <c r="D186" s="141">
        <f t="shared" si="127"/>
        <v>31250.82</v>
      </c>
      <c r="E186" s="313">
        <v>11</v>
      </c>
      <c r="F186" s="141">
        <f t="shared" si="128"/>
        <v>38535.26</v>
      </c>
      <c r="G186" s="313">
        <v>11</v>
      </c>
      <c r="H186" s="141">
        <f t="shared" si="129"/>
        <v>36779.949999999997</v>
      </c>
      <c r="I186" s="313"/>
      <c r="J186" s="142">
        <f>ROUND((D186*E186+F186*G186+H186*I186),2)</f>
        <v>767646.88</v>
      </c>
      <c r="K186" s="141">
        <f t="shared" si="130"/>
        <v>35546.49</v>
      </c>
      <c r="L186" s="126"/>
      <c r="M186" s="141">
        <f t="shared" si="131"/>
        <v>43923.6</v>
      </c>
      <c r="N186" s="126"/>
      <c r="O186" s="141">
        <f t="shared" si="132"/>
        <v>41904.99</v>
      </c>
      <c r="P186" s="126"/>
      <c r="Q186" s="142">
        <f>ROUND((K186*L186+M186*N186+O186*P186),2)</f>
        <v>0</v>
      </c>
      <c r="R186" s="141">
        <f t="shared" si="133"/>
        <v>41274.050000000003</v>
      </c>
      <c r="S186" s="126"/>
      <c r="T186" s="141">
        <f t="shared" si="134"/>
        <v>51108.05</v>
      </c>
      <c r="U186" s="126"/>
      <c r="V186" s="141">
        <f t="shared" si="135"/>
        <v>48738.38</v>
      </c>
      <c r="W186" s="126"/>
      <c r="X186" s="142">
        <f>ROUND((R186*S186+T186*U186+V186*W186),2)</f>
        <v>0</v>
      </c>
      <c r="Y186" s="141">
        <f t="shared" si="136"/>
        <v>45569.73</v>
      </c>
      <c r="Z186" s="313"/>
      <c r="AA186" s="141">
        <f t="shared" si="137"/>
        <v>56496.39</v>
      </c>
      <c r="AB186" s="313"/>
      <c r="AC186" s="142">
        <f>ROUND((Y186*Z186+AA186*AB186),2)</f>
        <v>0</v>
      </c>
      <c r="AD186" s="141">
        <f t="shared" si="138"/>
        <v>54161.08</v>
      </c>
      <c r="AE186" s="313"/>
      <c r="AF186" s="141">
        <f t="shared" si="139"/>
        <v>67273.070000000007</v>
      </c>
      <c r="AG186" s="313"/>
      <c r="AH186" s="141">
        <f t="shared" si="140"/>
        <v>64113.51</v>
      </c>
      <c r="AI186" s="313"/>
      <c r="AJ186" s="142">
        <f>ROUND((AD186*AE186+AF186*AG186+AH186*AI186),2)</f>
        <v>0</v>
      </c>
      <c r="AK186" s="141">
        <f t="shared" si="141"/>
        <v>29360.82</v>
      </c>
      <c r="AL186" s="126"/>
      <c r="AM186" s="141">
        <f t="shared" si="142"/>
        <v>36645.26</v>
      </c>
      <c r="AN186" s="126"/>
      <c r="AO186" s="141">
        <f t="shared" si="143"/>
        <v>34889.949999999997</v>
      </c>
      <c r="AP186" s="126"/>
      <c r="AQ186" s="142">
        <f>ROUND((AK186*AL186+AM186*AN186+AO186*AP186),2)</f>
        <v>0</v>
      </c>
      <c r="AR186" s="141">
        <f t="shared" si="144"/>
        <v>35718.379999999997</v>
      </c>
      <c r="AS186" s="313"/>
      <c r="AT186" s="142">
        <f>ROUND((AR186*AS186),2)</f>
        <v>0</v>
      </c>
      <c r="AU186" s="143">
        <f>AT186+AQ186+AJ186+AC186+X186+Q186+J186</f>
        <v>767646.88</v>
      </c>
      <c r="AV186" s="126"/>
      <c r="AW186" s="141">
        <f t="shared" si="145"/>
        <v>65258.22</v>
      </c>
      <c r="AX186" s="126"/>
      <c r="AY186" s="141">
        <f t="shared" si="146"/>
        <v>81192.94</v>
      </c>
      <c r="AZ186" s="126"/>
      <c r="BA186" s="141">
        <f t="shared" si="147"/>
        <v>77353.2</v>
      </c>
      <c r="BB186" s="126"/>
      <c r="BC186" s="142">
        <f>ROUND((AW186*AX186+AY186*AZ186+BA186*BB186),2)</f>
        <v>0</v>
      </c>
      <c r="BD186" s="141">
        <f t="shared" si="148"/>
        <v>77787.27</v>
      </c>
      <c r="BE186" s="126"/>
      <c r="BF186" s="141">
        <f t="shared" si="149"/>
        <v>96908.93</v>
      </c>
      <c r="BG186" s="126"/>
      <c r="BH186" s="142">
        <f>ROUND((BD186*BE186+BF186*BG186),2)</f>
        <v>0</v>
      </c>
      <c r="BI186" s="144">
        <f>BH186+BC186</f>
        <v>0</v>
      </c>
      <c r="BJ186" s="141">
        <f t="shared" si="150"/>
        <v>25708.01</v>
      </c>
      <c r="BK186" s="126"/>
      <c r="BL186" s="141">
        <f t="shared" si="151"/>
        <v>27763.9</v>
      </c>
      <c r="BM186" s="313"/>
      <c r="BN186" s="141">
        <f t="shared" si="152"/>
        <v>23851.91</v>
      </c>
      <c r="BO186" s="313"/>
      <c r="BP186" s="142">
        <f>ROUND((BJ186*BK186+BL186*BM186+BN186*BO186),2)</f>
        <v>0</v>
      </c>
      <c r="BQ186" s="141">
        <f t="shared" si="153"/>
        <v>42444.76</v>
      </c>
      <c r="BR186" s="126"/>
      <c r="BS186" s="141">
        <f t="shared" si="154"/>
        <v>46158.78</v>
      </c>
      <c r="BT186" s="126"/>
      <c r="BU186" s="141">
        <f t="shared" si="155"/>
        <v>39091.67</v>
      </c>
      <c r="BV186" s="126"/>
      <c r="BW186" s="142">
        <f>ROUND((BQ186*BR186+BS186*BT186+BU186*BV186),2)</f>
        <v>0</v>
      </c>
      <c r="BX186" s="359">
        <f>BY186</f>
        <v>22</v>
      </c>
      <c r="BY186" s="360">
        <f t="shared" si="186"/>
        <v>22</v>
      </c>
      <c r="BZ186" s="117"/>
    </row>
    <row r="187" spans="1:78" s="193" customFormat="1" ht="37.5">
      <c r="A187" s="173"/>
      <c r="B187" s="361" t="s">
        <v>536</v>
      </c>
      <c r="C187" s="362"/>
      <c r="D187" s="141">
        <f t="shared" si="127"/>
        <v>31250.82</v>
      </c>
      <c r="E187" s="538">
        <f>SUM(E184:E186)</f>
        <v>283</v>
      </c>
      <c r="F187" s="141">
        <f t="shared" si="128"/>
        <v>38535.26</v>
      </c>
      <c r="G187" s="538">
        <f>SUM(G184:G186)</f>
        <v>289</v>
      </c>
      <c r="H187" s="141">
        <f t="shared" si="129"/>
        <v>36779.949999999997</v>
      </c>
      <c r="I187" s="538">
        <f>SUM(I184:I186)</f>
        <v>66</v>
      </c>
      <c r="J187" s="300">
        <f>SUM(J184:J186)</f>
        <v>22408148.899999999</v>
      </c>
      <c r="K187" s="141">
        <f t="shared" si="130"/>
        <v>35546.49</v>
      </c>
      <c r="L187" s="300">
        <f>SUM(L184:L186)</f>
        <v>0</v>
      </c>
      <c r="M187" s="141">
        <f t="shared" si="131"/>
        <v>43923.6</v>
      </c>
      <c r="N187" s="300">
        <f>SUM(N184:N186)</f>
        <v>0</v>
      </c>
      <c r="O187" s="141">
        <f t="shared" si="132"/>
        <v>41904.99</v>
      </c>
      <c r="P187" s="300">
        <f>SUM(P184:P186)</f>
        <v>0</v>
      </c>
      <c r="Q187" s="300">
        <f>SUM(Q184:Q186)</f>
        <v>0</v>
      </c>
      <c r="R187" s="141">
        <f t="shared" si="133"/>
        <v>41274.050000000003</v>
      </c>
      <c r="S187" s="300">
        <f>SUM(S184:S186)</f>
        <v>0</v>
      </c>
      <c r="T187" s="141">
        <f t="shared" si="134"/>
        <v>51108.05</v>
      </c>
      <c r="U187" s="300">
        <f>SUM(U184:U186)</f>
        <v>0</v>
      </c>
      <c r="V187" s="141">
        <f t="shared" si="135"/>
        <v>48738.38</v>
      </c>
      <c r="W187" s="300">
        <f>SUM(W184:W186)</f>
        <v>0</v>
      </c>
      <c r="X187" s="300">
        <f>SUM(X184:X186)</f>
        <v>0</v>
      </c>
      <c r="Y187" s="141">
        <f t="shared" si="136"/>
        <v>45569.73</v>
      </c>
      <c r="Z187" s="538">
        <f>SUM(Z184:Z186)</f>
        <v>0</v>
      </c>
      <c r="AA187" s="141">
        <f t="shared" si="137"/>
        <v>56496.39</v>
      </c>
      <c r="AB187" s="538">
        <f>SUM(AB184:AB186)</f>
        <v>0</v>
      </c>
      <c r="AC187" s="300">
        <f>SUM(AC184:AC186)</f>
        <v>0</v>
      </c>
      <c r="AD187" s="141">
        <f t="shared" si="138"/>
        <v>54161.08</v>
      </c>
      <c r="AE187" s="538">
        <f>SUM(AE184:AE186)</f>
        <v>1</v>
      </c>
      <c r="AF187" s="141">
        <f t="shared" si="139"/>
        <v>67273.070000000007</v>
      </c>
      <c r="AG187" s="538">
        <f>SUM(AG184:AG186)</f>
        <v>12</v>
      </c>
      <c r="AH187" s="141">
        <f t="shared" si="140"/>
        <v>64113.51</v>
      </c>
      <c r="AI187" s="538">
        <f>SUM(AI184:AI186)</f>
        <v>0</v>
      </c>
      <c r="AJ187" s="300">
        <f>SUM(AJ184:AJ186)</f>
        <v>861437.92</v>
      </c>
      <c r="AK187" s="141">
        <f t="shared" si="141"/>
        <v>29360.82</v>
      </c>
      <c r="AL187" s="300">
        <f>SUM(AL184:AL186)</f>
        <v>0</v>
      </c>
      <c r="AM187" s="141">
        <f t="shared" si="142"/>
        <v>36645.26</v>
      </c>
      <c r="AN187" s="300">
        <f>SUM(AN184:AN186)</f>
        <v>0</v>
      </c>
      <c r="AO187" s="141">
        <f t="shared" si="143"/>
        <v>34889.949999999997</v>
      </c>
      <c r="AP187" s="300">
        <f>SUM(AP184:AP186)</f>
        <v>0</v>
      </c>
      <c r="AQ187" s="300">
        <f>SUM(AQ184:AQ186)</f>
        <v>0</v>
      </c>
      <c r="AR187" s="141">
        <f t="shared" si="144"/>
        <v>35718.379999999997</v>
      </c>
      <c r="AS187" s="538">
        <f>SUM(AS184:AS186)</f>
        <v>0</v>
      </c>
      <c r="AT187" s="300">
        <f>SUM(AT184:AT186)</f>
        <v>0</v>
      </c>
      <c r="AU187" s="750">
        <f>SUM(AU184:AU186)</f>
        <v>23269586.82</v>
      </c>
      <c r="AV187" s="300">
        <f>SUM(AV184:AV186)</f>
        <v>0</v>
      </c>
      <c r="AW187" s="141">
        <f t="shared" si="145"/>
        <v>65258.22</v>
      </c>
      <c r="AX187" s="300">
        <f>SUM(AX184:AX186)</f>
        <v>0</v>
      </c>
      <c r="AY187" s="141">
        <f t="shared" si="146"/>
        <v>81192.94</v>
      </c>
      <c r="AZ187" s="300">
        <f>SUM(AZ184:AZ186)</f>
        <v>0</v>
      </c>
      <c r="BA187" s="141">
        <f t="shared" si="147"/>
        <v>77353.2</v>
      </c>
      <c r="BB187" s="300">
        <f>SUM(BB184:BB186)</f>
        <v>0</v>
      </c>
      <c r="BC187" s="300">
        <f>SUM(BC184:BC186)</f>
        <v>0</v>
      </c>
      <c r="BD187" s="141">
        <f t="shared" si="148"/>
        <v>77787.27</v>
      </c>
      <c r="BE187" s="300">
        <f>SUM(BE184:BE186)</f>
        <v>0</v>
      </c>
      <c r="BF187" s="141">
        <f t="shared" si="149"/>
        <v>96908.93</v>
      </c>
      <c r="BG187" s="300">
        <f>SUM(BG184:BG186)</f>
        <v>0</v>
      </c>
      <c r="BH187" s="300">
        <f>SUM(BH184:BH186)</f>
        <v>0</v>
      </c>
      <c r="BI187" s="300">
        <f>SUM(BI184:BI186)</f>
        <v>0</v>
      </c>
      <c r="BJ187" s="141">
        <f t="shared" si="150"/>
        <v>25708.01</v>
      </c>
      <c r="BK187" s="300">
        <f>SUM(BK184:BK186)</f>
        <v>0</v>
      </c>
      <c r="BL187" s="141">
        <f t="shared" si="151"/>
        <v>27763.9</v>
      </c>
      <c r="BM187" s="538">
        <f>SUM(BM184:BM186)</f>
        <v>9</v>
      </c>
      <c r="BN187" s="141">
        <f t="shared" si="152"/>
        <v>23851.91</v>
      </c>
      <c r="BO187" s="538">
        <f>SUM(BO184:BO186)</f>
        <v>18</v>
      </c>
      <c r="BP187" s="300">
        <f>SUM(BP184:BP186)</f>
        <v>679209.48</v>
      </c>
      <c r="BQ187" s="141">
        <f t="shared" si="153"/>
        <v>42444.76</v>
      </c>
      <c r="BR187" s="300">
        <f t="shared" ref="BR187:BX187" si="187">SUM(BR184:BR186)</f>
        <v>0</v>
      </c>
      <c r="BS187" s="141">
        <f t="shared" si="154"/>
        <v>46158.78</v>
      </c>
      <c r="BT187" s="300">
        <f t="shared" si="187"/>
        <v>0</v>
      </c>
      <c r="BU187" s="141">
        <f t="shared" si="155"/>
        <v>39091.67</v>
      </c>
      <c r="BV187" s="300">
        <f t="shared" si="187"/>
        <v>0</v>
      </c>
      <c r="BW187" s="300">
        <f t="shared" si="187"/>
        <v>0</v>
      </c>
      <c r="BX187" s="311">
        <f t="shared" si="187"/>
        <v>678</v>
      </c>
      <c r="BY187" s="158"/>
      <c r="BZ187" s="192"/>
    </row>
    <row r="188" spans="1:78" s="116" customFormat="1" ht="37.5">
      <c r="A188" s="118" t="s">
        <v>389</v>
      </c>
      <c r="B188" s="363" t="s">
        <v>288</v>
      </c>
      <c r="C188" s="364" t="s">
        <v>410</v>
      </c>
      <c r="D188" s="141">
        <f t="shared" si="127"/>
        <v>31250.82</v>
      </c>
      <c r="E188" s="313">
        <v>197</v>
      </c>
      <c r="F188" s="141">
        <f t="shared" si="128"/>
        <v>38535.26</v>
      </c>
      <c r="G188" s="313">
        <v>257</v>
      </c>
      <c r="H188" s="141">
        <f t="shared" si="129"/>
        <v>36779.949999999997</v>
      </c>
      <c r="I188" s="313">
        <v>49</v>
      </c>
      <c r="J188" s="142">
        <f>ROUND((D188*E188+F188*G188+H188*I188),2)</f>
        <v>17862190.91</v>
      </c>
      <c r="K188" s="141">
        <f t="shared" si="130"/>
        <v>35546.49</v>
      </c>
      <c r="L188" s="365">
        <f>L186+L185</f>
        <v>0</v>
      </c>
      <c r="M188" s="141">
        <f t="shared" si="131"/>
        <v>43923.6</v>
      </c>
      <c r="N188" s="365">
        <f>N186+N185</f>
        <v>0</v>
      </c>
      <c r="O188" s="141">
        <f t="shared" si="132"/>
        <v>41904.99</v>
      </c>
      <c r="P188" s="365">
        <f>P186+P185</f>
        <v>0</v>
      </c>
      <c r="Q188" s="142">
        <f>ROUND((K188*L188+M188*N188+O188*P188),2)</f>
        <v>0</v>
      </c>
      <c r="R188" s="141">
        <f t="shared" si="133"/>
        <v>41274.050000000003</v>
      </c>
      <c r="S188" s="365">
        <f>S186+S185</f>
        <v>0</v>
      </c>
      <c r="T188" s="141">
        <f t="shared" si="134"/>
        <v>51108.05</v>
      </c>
      <c r="U188" s="365">
        <f>U186+U185</f>
        <v>0</v>
      </c>
      <c r="V188" s="141">
        <f t="shared" si="135"/>
        <v>48738.38</v>
      </c>
      <c r="W188" s="365">
        <f>W186+W185</f>
        <v>0</v>
      </c>
      <c r="X188" s="142">
        <f>ROUND((R188*S188+T188*U188+V188*W188),2)</f>
        <v>0</v>
      </c>
      <c r="Y188" s="141">
        <f t="shared" si="136"/>
        <v>45569.73</v>
      </c>
      <c r="Z188" s="313">
        <v>13</v>
      </c>
      <c r="AA188" s="141">
        <f t="shared" si="137"/>
        <v>56496.39</v>
      </c>
      <c r="AB188" s="313"/>
      <c r="AC188" s="142">
        <f>ROUND((Y188*Z188+AA188*AB188),2)</f>
        <v>592406.49</v>
      </c>
      <c r="AD188" s="141">
        <f t="shared" si="138"/>
        <v>54161.08</v>
      </c>
      <c r="AE188" s="313">
        <v>5</v>
      </c>
      <c r="AF188" s="141">
        <f t="shared" si="139"/>
        <v>67273.070000000007</v>
      </c>
      <c r="AG188" s="313">
        <v>8</v>
      </c>
      <c r="AH188" s="141">
        <f t="shared" si="140"/>
        <v>64113.51</v>
      </c>
      <c r="AI188" s="313">
        <v>1</v>
      </c>
      <c r="AJ188" s="142">
        <f>ROUND((AD188*AE188+AF188*AG188+AH188*AI188),2)</f>
        <v>873103.47</v>
      </c>
      <c r="AK188" s="141">
        <f t="shared" si="141"/>
        <v>29360.82</v>
      </c>
      <c r="AL188" s="365">
        <f>AL186+AL185</f>
        <v>0</v>
      </c>
      <c r="AM188" s="141">
        <f t="shared" si="142"/>
        <v>36645.26</v>
      </c>
      <c r="AN188" s="365">
        <f>AN186+AN185</f>
        <v>0</v>
      </c>
      <c r="AO188" s="141">
        <f t="shared" si="143"/>
        <v>34889.949999999997</v>
      </c>
      <c r="AP188" s="365">
        <f>AP186+AP185</f>
        <v>0</v>
      </c>
      <c r="AQ188" s="142">
        <f>ROUND((AK188*AL188+AM188*AN188+AO188*AP188),2)</f>
        <v>0</v>
      </c>
      <c r="AR188" s="141">
        <f t="shared" si="144"/>
        <v>35718.379999999997</v>
      </c>
      <c r="AS188" s="313"/>
      <c r="AT188" s="142">
        <f>ROUND((AR188*AS188),2)</f>
        <v>0</v>
      </c>
      <c r="AU188" s="143">
        <f>AT188+AQ188+AJ188+AC188+X188+Q188+J188</f>
        <v>19327700.870000001</v>
      </c>
      <c r="AV188" s="365">
        <f>AV186+AV185</f>
        <v>0</v>
      </c>
      <c r="AW188" s="141">
        <f t="shared" si="145"/>
        <v>65258.22</v>
      </c>
      <c r="AX188" s="365">
        <f>AX186+AX185</f>
        <v>0</v>
      </c>
      <c r="AY188" s="141">
        <f t="shared" si="146"/>
        <v>81192.94</v>
      </c>
      <c r="AZ188" s="365">
        <f>AZ186+AZ185</f>
        <v>0</v>
      </c>
      <c r="BA188" s="141">
        <f t="shared" si="147"/>
        <v>77353.2</v>
      </c>
      <c r="BB188" s="365">
        <f>BB186+BB185</f>
        <v>0</v>
      </c>
      <c r="BC188" s="142">
        <f>ROUND((AW188*AX188+AY188*AZ188+BA188*BB188),2)</f>
        <v>0</v>
      </c>
      <c r="BD188" s="141">
        <f t="shared" si="148"/>
        <v>77787.27</v>
      </c>
      <c r="BE188" s="365">
        <f>BE186+BE185</f>
        <v>0</v>
      </c>
      <c r="BF188" s="141">
        <f t="shared" si="149"/>
        <v>96908.93</v>
      </c>
      <c r="BG188" s="365">
        <f>BG186+BG185</f>
        <v>0</v>
      </c>
      <c r="BH188" s="142">
        <f>ROUND((BD188*BE188+BF188*BG188),2)</f>
        <v>0</v>
      </c>
      <c r="BI188" s="144">
        <f>BH188+BC188</f>
        <v>0</v>
      </c>
      <c r="BJ188" s="141">
        <f t="shared" si="150"/>
        <v>25708.01</v>
      </c>
      <c r="BK188" s="365">
        <f>BK186+BK185</f>
        <v>0</v>
      </c>
      <c r="BL188" s="141">
        <f t="shared" si="151"/>
        <v>27763.9</v>
      </c>
      <c r="BM188" s="313"/>
      <c r="BN188" s="141">
        <f t="shared" si="152"/>
        <v>23851.91</v>
      </c>
      <c r="BO188" s="313"/>
      <c r="BP188" s="142">
        <f>ROUND((BJ188*BK188+BL188*BM188+BN188*BO188),2)</f>
        <v>0</v>
      </c>
      <c r="BQ188" s="141">
        <f t="shared" si="153"/>
        <v>42444.76</v>
      </c>
      <c r="BR188" s="365">
        <f>BR186+BR185</f>
        <v>0</v>
      </c>
      <c r="BS188" s="141">
        <f t="shared" si="154"/>
        <v>46158.78</v>
      </c>
      <c r="BT188" s="365">
        <f>BT186+BT185</f>
        <v>0</v>
      </c>
      <c r="BU188" s="141">
        <f t="shared" si="155"/>
        <v>39091.67</v>
      </c>
      <c r="BV188" s="365">
        <f>BV186+BV185</f>
        <v>0</v>
      </c>
      <c r="BW188" s="142">
        <f>ROUND((BQ188*BR188+BS188*BT188+BU188*BV188),2)</f>
        <v>0</v>
      </c>
      <c r="BX188" s="356">
        <f>BY188</f>
        <v>530</v>
      </c>
      <c r="BY188" s="360">
        <f>E188+G188+I188+AE188+AG188+AI188+AS188+BM188+BO188+Z188+AB188</f>
        <v>530</v>
      </c>
      <c r="BZ188" s="117"/>
    </row>
    <row r="189" spans="1:78" s="116" customFormat="1" ht="56.25">
      <c r="A189" s="108"/>
      <c r="B189" s="357" t="s">
        <v>537</v>
      </c>
      <c r="C189" s="268"/>
      <c r="D189" s="141">
        <f t="shared" si="127"/>
        <v>31250.82</v>
      </c>
      <c r="E189" s="313">
        <v>4</v>
      </c>
      <c r="F189" s="141">
        <f t="shared" si="128"/>
        <v>38535.26</v>
      </c>
      <c r="G189" s="313">
        <v>10</v>
      </c>
      <c r="H189" s="141">
        <f t="shared" si="129"/>
        <v>36779.949999999997</v>
      </c>
      <c r="I189" s="313"/>
      <c r="J189" s="142">
        <f>ROUND((D189*E189+F189*G189+H189*I189),2)</f>
        <v>510355.88</v>
      </c>
      <c r="K189" s="141">
        <f t="shared" si="130"/>
        <v>35546.49</v>
      </c>
      <c r="L189" s="126"/>
      <c r="M189" s="141">
        <f t="shared" si="131"/>
        <v>43923.6</v>
      </c>
      <c r="N189" s="126"/>
      <c r="O189" s="141">
        <f t="shared" si="132"/>
        <v>41904.99</v>
      </c>
      <c r="P189" s="126"/>
      <c r="Q189" s="142">
        <f>ROUND((K189*L189+M189*N189+O189*P189),2)</f>
        <v>0</v>
      </c>
      <c r="R189" s="141">
        <f t="shared" si="133"/>
        <v>41274.050000000003</v>
      </c>
      <c r="S189" s="126"/>
      <c r="T189" s="141">
        <f t="shared" si="134"/>
        <v>51108.05</v>
      </c>
      <c r="U189" s="126"/>
      <c r="V189" s="141">
        <f t="shared" si="135"/>
        <v>48738.38</v>
      </c>
      <c r="W189" s="126"/>
      <c r="X189" s="142">
        <f>ROUND((R189*S189+T189*U189+V189*W189),2)</f>
        <v>0</v>
      </c>
      <c r="Y189" s="141">
        <f t="shared" si="136"/>
        <v>45569.73</v>
      </c>
      <c r="Z189" s="313"/>
      <c r="AA189" s="141">
        <f t="shared" si="137"/>
        <v>56496.39</v>
      </c>
      <c r="AB189" s="313"/>
      <c r="AC189" s="142">
        <f>ROUND((Y189*Z189+AA189*AB189),2)</f>
        <v>0</v>
      </c>
      <c r="AD189" s="141">
        <f t="shared" si="138"/>
        <v>54161.08</v>
      </c>
      <c r="AE189" s="313"/>
      <c r="AF189" s="141">
        <f t="shared" si="139"/>
        <v>67273.070000000007</v>
      </c>
      <c r="AG189" s="313">
        <v>1</v>
      </c>
      <c r="AH189" s="141">
        <f t="shared" si="140"/>
        <v>64113.51</v>
      </c>
      <c r="AI189" s="313"/>
      <c r="AJ189" s="142">
        <f>ROUND((AD189*AE189+AF189*AG189+AH189*AI189),2)</f>
        <v>67273.070000000007</v>
      </c>
      <c r="AK189" s="141">
        <f t="shared" si="141"/>
        <v>29360.82</v>
      </c>
      <c r="AL189" s="126"/>
      <c r="AM189" s="141">
        <f t="shared" si="142"/>
        <v>36645.26</v>
      </c>
      <c r="AN189" s="126"/>
      <c r="AO189" s="141">
        <f t="shared" si="143"/>
        <v>34889.949999999997</v>
      </c>
      <c r="AP189" s="126"/>
      <c r="AQ189" s="142">
        <f>ROUND((AK189*AL189+AM189*AN189+AO189*AP189),2)</f>
        <v>0</v>
      </c>
      <c r="AR189" s="141">
        <f t="shared" si="144"/>
        <v>35718.379999999997</v>
      </c>
      <c r="AS189" s="313">
        <v>11</v>
      </c>
      <c r="AT189" s="142">
        <f>ROUND((AR189*AS189),2)</f>
        <v>392902.18</v>
      </c>
      <c r="AU189" s="143">
        <f>AT189+AQ189+AJ189+AC189+X189+Q189+J189</f>
        <v>970531.13</v>
      </c>
      <c r="AV189" s="126"/>
      <c r="AW189" s="141">
        <f t="shared" si="145"/>
        <v>65258.22</v>
      </c>
      <c r="AX189" s="126"/>
      <c r="AY189" s="141">
        <f t="shared" si="146"/>
        <v>81192.94</v>
      </c>
      <c r="AZ189" s="126"/>
      <c r="BA189" s="141">
        <f t="shared" si="147"/>
        <v>77353.2</v>
      </c>
      <c r="BB189" s="126"/>
      <c r="BC189" s="142">
        <f>ROUND((AW189*AX189+AY189*AZ189+BA189*BB189),2)</f>
        <v>0</v>
      </c>
      <c r="BD189" s="141">
        <f t="shared" si="148"/>
        <v>77787.27</v>
      </c>
      <c r="BE189" s="126"/>
      <c r="BF189" s="141">
        <f t="shared" si="149"/>
        <v>96908.93</v>
      </c>
      <c r="BG189" s="126"/>
      <c r="BH189" s="142">
        <f>ROUND((BD189*BE189+BF189*BG189),2)</f>
        <v>0</v>
      </c>
      <c r="BI189" s="144">
        <f>BH189+BC189</f>
        <v>0</v>
      </c>
      <c r="BJ189" s="141">
        <f t="shared" si="150"/>
        <v>25708.01</v>
      </c>
      <c r="BK189" s="126"/>
      <c r="BL189" s="141">
        <f t="shared" si="151"/>
        <v>27763.9</v>
      </c>
      <c r="BM189" s="313"/>
      <c r="BN189" s="141">
        <f t="shared" si="152"/>
        <v>23851.91</v>
      </c>
      <c r="BO189" s="313"/>
      <c r="BP189" s="142">
        <f>ROUND((BJ189*BK189+BL189*BM189+BN189*BO189),2)</f>
        <v>0</v>
      </c>
      <c r="BQ189" s="141">
        <f t="shared" si="153"/>
        <v>42444.76</v>
      </c>
      <c r="BR189" s="126"/>
      <c r="BS189" s="141">
        <f t="shared" si="154"/>
        <v>46158.78</v>
      </c>
      <c r="BT189" s="126"/>
      <c r="BU189" s="141">
        <f t="shared" si="155"/>
        <v>39091.67</v>
      </c>
      <c r="BV189" s="126"/>
      <c r="BW189" s="142">
        <f>ROUND((BQ189*BR189+BS189*BT189+BU189*BV189),2)</f>
        <v>0</v>
      </c>
      <c r="BX189" s="366">
        <f t="shared" ref="BX189:BX196" si="188">BV189+BT189+BR189+BO189+BM189+BK189+BG189+BE189+BB189+AZ189+AX189+AS189+AP189+AN189+AL189+AI189+AG189+AE189+AB189+Z189+W189+U189+S189+P189+N189+L189+I189+G189+E189</f>
        <v>26</v>
      </c>
      <c r="BY189" s="360">
        <f t="shared" si="186"/>
        <v>26</v>
      </c>
      <c r="BZ189" s="117"/>
    </row>
    <row r="190" spans="1:78" s="116" customFormat="1" ht="37.5">
      <c r="A190" s="108"/>
      <c r="B190" s="361" t="s">
        <v>538</v>
      </c>
      <c r="C190" s="362"/>
      <c r="D190" s="141">
        <f t="shared" si="127"/>
        <v>31250.82</v>
      </c>
      <c r="E190" s="538">
        <f>SUM(E188:E189)</f>
        <v>201</v>
      </c>
      <c r="F190" s="141">
        <f t="shared" si="128"/>
        <v>38535.26</v>
      </c>
      <c r="G190" s="538">
        <f>SUM(G188:G189)</f>
        <v>267</v>
      </c>
      <c r="H190" s="141">
        <f t="shared" si="129"/>
        <v>36779.949999999997</v>
      </c>
      <c r="I190" s="538">
        <f>SUM(I188:I189)</f>
        <v>49</v>
      </c>
      <c r="J190" s="300">
        <f>SUM(J188:J189)</f>
        <v>18372546.789999999</v>
      </c>
      <c r="K190" s="141">
        <f t="shared" si="130"/>
        <v>35546.49</v>
      </c>
      <c r="L190" s="300">
        <f>SUM(L188:L189)</f>
        <v>0</v>
      </c>
      <c r="M190" s="141">
        <f t="shared" si="131"/>
        <v>43923.6</v>
      </c>
      <c r="N190" s="300">
        <f>SUM(N188:N189)</f>
        <v>0</v>
      </c>
      <c r="O190" s="141">
        <f t="shared" si="132"/>
        <v>41904.99</v>
      </c>
      <c r="P190" s="300">
        <f>SUM(P188:P189)</f>
        <v>0</v>
      </c>
      <c r="Q190" s="300">
        <f>SUM(Q188:Q189)</f>
        <v>0</v>
      </c>
      <c r="R190" s="141">
        <f t="shared" si="133"/>
        <v>41274.050000000003</v>
      </c>
      <c r="S190" s="300">
        <f>SUM(S188:S189)</f>
        <v>0</v>
      </c>
      <c r="T190" s="141">
        <f t="shared" si="134"/>
        <v>51108.05</v>
      </c>
      <c r="U190" s="300">
        <f>SUM(U188:U189)</f>
        <v>0</v>
      </c>
      <c r="V190" s="141">
        <f t="shared" si="135"/>
        <v>48738.38</v>
      </c>
      <c r="W190" s="300">
        <f>SUM(W188:W189)</f>
        <v>0</v>
      </c>
      <c r="X190" s="300">
        <f>SUM(X188:X189)</f>
        <v>0</v>
      </c>
      <c r="Y190" s="141">
        <f t="shared" si="136"/>
        <v>45569.73</v>
      </c>
      <c r="Z190" s="538">
        <f>SUM(Z188:Z189)</f>
        <v>13</v>
      </c>
      <c r="AA190" s="141">
        <f t="shared" si="137"/>
        <v>56496.39</v>
      </c>
      <c r="AB190" s="538">
        <f>SUM(AB188:AB189)</f>
        <v>0</v>
      </c>
      <c r="AC190" s="300">
        <f>SUM(AC188:AC189)</f>
        <v>592406.49</v>
      </c>
      <c r="AD190" s="141">
        <f t="shared" si="138"/>
        <v>54161.08</v>
      </c>
      <c r="AE190" s="538">
        <f>SUM(AE188:AE189)</f>
        <v>5</v>
      </c>
      <c r="AF190" s="141">
        <f t="shared" si="139"/>
        <v>67273.070000000007</v>
      </c>
      <c r="AG190" s="538">
        <f>SUM(AG188:AG189)</f>
        <v>9</v>
      </c>
      <c r="AH190" s="141">
        <f t="shared" si="140"/>
        <v>64113.51</v>
      </c>
      <c r="AI190" s="538">
        <f>SUM(AI188:AI189)</f>
        <v>1</v>
      </c>
      <c r="AJ190" s="300">
        <f>SUM(AJ188:AJ189)</f>
        <v>940376.54</v>
      </c>
      <c r="AK190" s="141">
        <f t="shared" si="141"/>
        <v>29360.82</v>
      </c>
      <c r="AL190" s="300">
        <f>SUM(AL188:AL189)</f>
        <v>0</v>
      </c>
      <c r="AM190" s="141">
        <f t="shared" si="142"/>
        <v>36645.26</v>
      </c>
      <c r="AN190" s="300">
        <f>SUM(AN188:AN189)</f>
        <v>0</v>
      </c>
      <c r="AO190" s="141">
        <f t="shared" si="143"/>
        <v>34889.949999999997</v>
      </c>
      <c r="AP190" s="300">
        <f>SUM(AP188:AP189)</f>
        <v>0</v>
      </c>
      <c r="AQ190" s="300">
        <f>SUM(AQ188:AQ189)</f>
        <v>0</v>
      </c>
      <c r="AR190" s="141">
        <f t="shared" si="144"/>
        <v>35718.379999999997</v>
      </c>
      <c r="AS190" s="538">
        <f>SUM(AS188:AS189)</f>
        <v>11</v>
      </c>
      <c r="AT190" s="300">
        <f>SUM(AT188:AT189)</f>
        <v>392902.18</v>
      </c>
      <c r="AU190" s="750">
        <f>SUM(AU188:AU189)</f>
        <v>20298232</v>
      </c>
      <c r="AV190" s="300">
        <f>SUM(AV188:AV189)</f>
        <v>0</v>
      </c>
      <c r="AW190" s="141">
        <f t="shared" si="145"/>
        <v>65258.22</v>
      </c>
      <c r="AX190" s="300">
        <f>SUM(AX188:AX189)</f>
        <v>0</v>
      </c>
      <c r="AY190" s="141">
        <f t="shared" si="146"/>
        <v>81192.94</v>
      </c>
      <c r="AZ190" s="300">
        <f>SUM(AZ188:AZ189)</f>
        <v>0</v>
      </c>
      <c r="BA190" s="141">
        <f t="shared" si="147"/>
        <v>77353.2</v>
      </c>
      <c r="BB190" s="300">
        <f>SUM(BB188:BB189)</f>
        <v>0</v>
      </c>
      <c r="BC190" s="300">
        <f>SUM(BC188:BC189)</f>
        <v>0</v>
      </c>
      <c r="BD190" s="141">
        <f t="shared" si="148"/>
        <v>77787.27</v>
      </c>
      <c r="BE190" s="300">
        <f>SUM(BE188:BE189)</f>
        <v>0</v>
      </c>
      <c r="BF190" s="141">
        <f t="shared" si="149"/>
        <v>96908.93</v>
      </c>
      <c r="BG190" s="300">
        <f>SUM(BG188:BG189)</f>
        <v>0</v>
      </c>
      <c r="BH190" s="300">
        <f>SUM(BH188:BH189)</f>
        <v>0</v>
      </c>
      <c r="BI190" s="300">
        <f>SUM(BI188:BI189)</f>
        <v>0</v>
      </c>
      <c r="BJ190" s="141">
        <f t="shared" si="150"/>
        <v>25708.01</v>
      </c>
      <c r="BK190" s="300">
        <f>SUM(BK188:BK189)</f>
        <v>0</v>
      </c>
      <c r="BL190" s="141">
        <f t="shared" si="151"/>
        <v>27763.9</v>
      </c>
      <c r="BM190" s="538">
        <f>SUM(BM188:BM189)</f>
        <v>0</v>
      </c>
      <c r="BN190" s="141">
        <f t="shared" si="152"/>
        <v>23851.91</v>
      </c>
      <c r="BO190" s="538">
        <f>SUM(BO188:BO189)</f>
        <v>0</v>
      </c>
      <c r="BP190" s="300">
        <f>SUM(BP188:BP189)</f>
        <v>0</v>
      </c>
      <c r="BQ190" s="141">
        <f t="shared" si="153"/>
        <v>42444.76</v>
      </c>
      <c r="BR190" s="300">
        <f t="shared" ref="BR190:BX190" si="189">SUM(BR188:BR189)</f>
        <v>0</v>
      </c>
      <c r="BS190" s="141">
        <f t="shared" si="154"/>
        <v>46158.78</v>
      </c>
      <c r="BT190" s="300">
        <f t="shared" si="189"/>
        <v>0</v>
      </c>
      <c r="BU190" s="141">
        <f t="shared" si="155"/>
        <v>39091.67</v>
      </c>
      <c r="BV190" s="300">
        <f t="shared" si="189"/>
        <v>0</v>
      </c>
      <c r="BW190" s="300">
        <f t="shared" si="189"/>
        <v>0</v>
      </c>
      <c r="BX190" s="311">
        <f t="shared" si="189"/>
        <v>556</v>
      </c>
      <c r="BY190" s="360"/>
      <c r="BZ190" s="117"/>
    </row>
    <row r="191" spans="1:78" s="116" customFormat="1" ht="37.5">
      <c r="A191" s="95" t="s">
        <v>393</v>
      </c>
      <c r="B191" s="363" t="s">
        <v>289</v>
      </c>
      <c r="C191" s="268" t="s">
        <v>410</v>
      </c>
      <c r="D191" s="141">
        <f t="shared" ref="D191:D211" si="190">D192</f>
        <v>31250.82</v>
      </c>
      <c r="E191" s="313">
        <v>162</v>
      </c>
      <c r="F191" s="141">
        <f t="shared" ref="F191:F211" si="191">F192</f>
        <v>38535.26</v>
      </c>
      <c r="G191" s="313">
        <v>177</v>
      </c>
      <c r="H191" s="141">
        <f t="shared" ref="H191:H211" si="192">H192</f>
        <v>36779.949999999997</v>
      </c>
      <c r="I191" s="313">
        <v>48</v>
      </c>
      <c r="J191" s="142">
        <f>ROUND((D191*E191+F191*G191+H191*I191),2)</f>
        <v>13648811.460000001</v>
      </c>
      <c r="K191" s="141">
        <f t="shared" ref="K191:K211" si="193">K192</f>
        <v>35546.49</v>
      </c>
      <c r="L191" s="126"/>
      <c r="M191" s="141">
        <f t="shared" ref="M191:M211" si="194">M192</f>
        <v>43923.6</v>
      </c>
      <c r="N191" s="126"/>
      <c r="O191" s="141">
        <f t="shared" ref="O191:O211" si="195">O192</f>
        <v>41904.99</v>
      </c>
      <c r="P191" s="126"/>
      <c r="Q191" s="142">
        <f>ROUND((K191*L191+M191*N191+O191*P191),2)</f>
        <v>0</v>
      </c>
      <c r="R191" s="141">
        <f t="shared" ref="R191:R211" si="196">R192</f>
        <v>41274.050000000003</v>
      </c>
      <c r="S191" s="126"/>
      <c r="T191" s="141">
        <f t="shared" ref="T191:T211" si="197">T192</f>
        <v>51108.05</v>
      </c>
      <c r="U191" s="126"/>
      <c r="V191" s="141">
        <f t="shared" ref="V191:V211" si="198">V192</f>
        <v>48738.38</v>
      </c>
      <c r="W191" s="126"/>
      <c r="X191" s="142">
        <f>ROUND((R191*S191+T191*U191+V191*W191),2)</f>
        <v>0</v>
      </c>
      <c r="Y191" s="141">
        <f t="shared" ref="Y191:Y211" si="199">Y192</f>
        <v>45569.73</v>
      </c>
      <c r="Z191" s="313"/>
      <c r="AA191" s="141">
        <f t="shared" ref="AA191:AA211" si="200">AA192</f>
        <v>56496.39</v>
      </c>
      <c r="AB191" s="313"/>
      <c r="AC191" s="142">
        <f>ROUND((Y191*Z191+AA191*AB191),2)</f>
        <v>0</v>
      </c>
      <c r="AD191" s="141">
        <f t="shared" ref="AD191:AD211" si="201">AD192</f>
        <v>54161.08</v>
      </c>
      <c r="AE191" s="313">
        <v>7</v>
      </c>
      <c r="AF191" s="141">
        <f t="shared" ref="AF191:AF211" si="202">AF192</f>
        <v>67273.070000000007</v>
      </c>
      <c r="AG191" s="313">
        <v>7</v>
      </c>
      <c r="AH191" s="141">
        <f t="shared" ref="AH191:AH211" si="203">AH192</f>
        <v>64113.51</v>
      </c>
      <c r="AI191" s="313"/>
      <c r="AJ191" s="142">
        <f>ROUND((AD191*AE191+AF191*AG191+AH191*AI191),2)</f>
        <v>850039.05</v>
      </c>
      <c r="AK191" s="141">
        <f t="shared" ref="AK191:AK211" si="204">AK192</f>
        <v>29360.82</v>
      </c>
      <c r="AL191" s="126"/>
      <c r="AM191" s="141">
        <f t="shared" ref="AM191:AM211" si="205">AM192</f>
        <v>36645.26</v>
      </c>
      <c r="AN191" s="126"/>
      <c r="AO191" s="141">
        <f t="shared" ref="AO191:AO211" si="206">AO192</f>
        <v>34889.949999999997</v>
      </c>
      <c r="AP191" s="126"/>
      <c r="AQ191" s="142">
        <f>ROUND((AK191*AL191+AM191*AN191+AO191*AP191),2)</f>
        <v>0</v>
      </c>
      <c r="AR191" s="141">
        <f t="shared" ref="AR191:AR211" si="207">AR192</f>
        <v>35718.379999999997</v>
      </c>
      <c r="AS191" s="313"/>
      <c r="AT191" s="142">
        <f>ROUND((AR191*AS191),2)</f>
        <v>0</v>
      </c>
      <c r="AU191" s="143">
        <f>AT191+AQ191+AJ191+AC191+X191+Q191+J191</f>
        <v>14498850.510000002</v>
      </c>
      <c r="AV191" s="126"/>
      <c r="AW191" s="141">
        <f t="shared" ref="AW191:AW211" si="208">AW192</f>
        <v>65258.22</v>
      </c>
      <c r="AX191" s="367"/>
      <c r="AY191" s="141">
        <f t="shared" ref="AY191:AY211" si="209">AY192</f>
        <v>81192.94</v>
      </c>
      <c r="AZ191" s="367"/>
      <c r="BA191" s="141">
        <f t="shared" ref="BA191:BA211" si="210">BA192</f>
        <v>77353.2</v>
      </c>
      <c r="BB191" s="126"/>
      <c r="BC191" s="142">
        <f>ROUND((AW191*AX191+AY191*AZ191+BA191*BB191),2)</f>
        <v>0</v>
      </c>
      <c r="BD191" s="141">
        <f t="shared" ref="BD191:BD211" si="211">BD192</f>
        <v>77787.27</v>
      </c>
      <c r="BE191" s="126"/>
      <c r="BF191" s="141">
        <f t="shared" ref="BF191:BF211" si="212">BF192</f>
        <v>96908.93</v>
      </c>
      <c r="BG191" s="126"/>
      <c r="BH191" s="142">
        <f>ROUND((BD191*BE191+BF191*BG191),2)</f>
        <v>0</v>
      </c>
      <c r="BI191" s="144">
        <f>BH191+BC191</f>
        <v>0</v>
      </c>
      <c r="BJ191" s="141">
        <f t="shared" ref="BJ191:BJ211" si="213">BJ192</f>
        <v>25708.01</v>
      </c>
      <c r="BK191" s="126"/>
      <c r="BL191" s="141">
        <f t="shared" ref="BL191:BL211" si="214">BL192</f>
        <v>27763.9</v>
      </c>
      <c r="BM191" s="313"/>
      <c r="BN191" s="141">
        <f t="shared" ref="BN191:BN211" si="215">BN192</f>
        <v>23851.91</v>
      </c>
      <c r="BO191" s="313"/>
      <c r="BP191" s="142">
        <f>ROUND((BJ191*BK191+BL191*BM191+BN191*BO191),2)</f>
        <v>0</v>
      </c>
      <c r="BQ191" s="141">
        <f t="shared" ref="BQ191:BQ211" si="216">BQ192</f>
        <v>42444.76</v>
      </c>
      <c r="BR191" s="126"/>
      <c r="BS191" s="141">
        <f t="shared" ref="BS191:BS211" si="217">BS192</f>
        <v>46158.78</v>
      </c>
      <c r="BT191" s="126"/>
      <c r="BU191" s="141">
        <f t="shared" ref="BU191:BU211" si="218">BU192</f>
        <v>39091.67</v>
      </c>
      <c r="BV191" s="126"/>
      <c r="BW191" s="142">
        <f>ROUND((BQ191*BR191+BS191*BT191+BU191*BV191),2)</f>
        <v>0</v>
      </c>
      <c r="BX191" s="359">
        <f t="shared" si="188"/>
        <v>401</v>
      </c>
      <c r="BY191" s="360">
        <f t="shared" si="186"/>
        <v>401</v>
      </c>
      <c r="BZ191" s="117"/>
    </row>
    <row r="192" spans="1:78" s="116" customFormat="1" ht="56.25">
      <c r="A192" s="122"/>
      <c r="B192" s="357" t="s">
        <v>539</v>
      </c>
      <c r="C192" s="250"/>
      <c r="D192" s="141">
        <f t="shared" si="190"/>
        <v>31250.82</v>
      </c>
      <c r="E192" s="313">
        <v>20</v>
      </c>
      <c r="F192" s="141">
        <f t="shared" si="191"/>
        <v>38535.26</v>
      </c>
      <c r="G192" s="313">
        <v>25</v>
      </c>
      <c r="H192" s="141">
        <f t="shared" si="192"/>
        <v>36779.949999999997</v>
      </c>
      <c r="I192" s="313"/>
      <c r="J192" s="142">
        <f>ROUND((D192*E192+F192*G192+H192*I192),2)</f>
        <v>1588397.9</v>
      </c>
      <c r="K192" s="141">
        <f t="shared" si="193"/>
        <v>35546.49</v>
      </c>
      <c r="L192" s="126"/>
      <c r="M192" s="141">
        <f t="shared" si="194"/>
        <v>43923.6</v>
      </c>
      <c r="N192" s="126"/>
      <c r="O192" s="141">
        <f t="shared" si="195"/>
        <v>41904.99</v>
      </c>
      <c r="P192" s="126"/>
      <c r="Q192" s="142">
        <f>ROUND((K192*L192+M192*N192+O192*P192),2)</f>
        <v>0</v>
      </c>
      <c r="R192" s="141">
        <f t="shared" si="196"/>
        <v>41274.050000000003</v>
      </c>
      <c r="S192" s="126"/>
      <c r="T192" s="141">
        <f t="shared" si="197"/>
        <v>51108.05</v>
      </c>
      <c r="U192" s="126"/>
      <c r="V192" s="141">
        <f t="shared" si="198"/>
        <v>48738.38</v>
      </c>
      <c r="W192" s="126"/>
      <c r="X192" s="142">
        <f>ROUND((R192*S192+T192*U192+V192*W192),2)</f>
        <v>0</v>
      </c>
      <c r="Y192" s="141">
        <f t="shared" si="199"/>
        <v>45569.73</v>
      </c>
      <c r="Z192" s="313"/>
      <c r="AA192" s="141">
        <f t="shared" si="200"/>
        <v>56496.39</v>
      </c>
      <c r="AB192" s="313"/>
      <c r="AC192" s="142">
        <f>ROUND((Y192*Z192+AA192*AB192),2)</f>
        <v>0</v>
      </c>
      <c r="AD192" s="141">
        <f t="shared" si="201"/>
        <v>54161.08</v>
      </c>
      <c r="AE192" s="313"/>
      <c r="AF192" s="141">
        <f t="shared" si="202"/>
        <v>67273.070000000007</v>
      </c>
      <c r="AG192" s="313">
        <v>1</v>
      </c>
      <c r="AH192" s="141">
        <f t="shared" si="203"/>
        <v>64113.51</v>
      </c>
      <c r="AI192" s="313"/>
      <c r="AJ192" s="142">
        <f>ROUND((AD192*AE192+AF192*AG192+AH192*AI192),2)</f>
        <v>67273.070000000007</v>
      </c>
      <c r="AK192" s="141">
        <f t="shared" si="204"/>
        <v>29360.82</v>
      </c>
      <c r="AL192" s="126"/>
      <c r="AM192" s="141">
        <f t="shared" si="205"/>
        <v>36645.26</v>
      </c>
      <c r="AN192" s="126"/>
      <c r="AO192" s="141">
        <f t="shared" si="206"/>
        <v>34889.949999999997</v>
      </c>
      <c r="AP192" s="126"/>
      <c r="AQ192" s="142">
        <f>ROUND((AK192*AL192+AM192*AN192+AO192*AP192),2)</f>
        <v>0</v>
      </c>
      <c r="AR192" s="141">
        <f t="shared" si="207"/>
        <v>35718.379999999997</v>
      </c>
      <c r="AS192" s="313">
        <v>14</v>
      </c>
      <c r="AT192" s="142">
        <f>ROUND((AR192*AS192),2)</f>
        <v>500057.32</v>
      </c>
      <c r="AU192" s="143">
        <f>AT192+AQ192+AJ192+AC192+X192+Q192+J192</f>
        <v>2155728.29</v>
      </c>
      <c r="AV192" s="126"/>
      <c r="AW192" s="141">
        <f t="shared" si="208"/>
        <v>65258.22</v>
      </c>
      <c r="AX192" s="367"/>
      <c r="AY192" s="141">
        <f t="shared" si="209"/>
        <v>81192.94</v>
      </c>
      <c r="AZ192" s="367"/>
      <c r="BA192" s="141">
        <f t="shared" si="210"/>
        <v>77353.2</v>
      </c>
      <c r="BB192" s="126"/>
      <c r="BC192" s="142">
        <f>ROUND((AW192*AX192+AY192*AZ192+BA192*BB192),2)</f>
        <v>0</v>
      </c>
      <c r="BD192" s="141">
        <f t="shared" si="211"/>
        <v>77787.27</v>
      </c>
      <c r="BE192" s="126"/>
      <c r="BF192" s="141">
        <f t="shared" si="212"/>
        <v>96908.93</v>
      </c>
      <c r="BG192" s="126"/>
      <c r="BH192" s="142">
        <f>ROUND((BD192*BE192+BF192*BG192),2)</f>
        <v>0</v>
      </c>
      <c r="BI192" s="144">
        <f>BH192+BC192</f>
        <v>0</v>
      </c>
      <c r="BJ192" s="141">
        <f t="shared" si="213"/>
        <v>25708.01</v>
      </c>
      <c r="BK192" s="126"/>
      <c r="BL192" s="141">
        <f t="shared" si="214"/>
        <v>27763.9</v>
      </c>
      <c r="BM192" s="313"/>
      <c r="BN192" s="141">
        <f t="shared" si="215"/>
        <v>23851.91</v>
      </c>
      <c r="BO192" s="313"/>
      <c r="BP192" s="142">
        <f>ROUND((BJ192*BK192+BL192*BM192+BN192*BO192),2)</f>
        <v>0</v>
      </c>
      <c r="BQ192" s="141">
        <f t="shared" si="216"/>
        <v>42444.76</v>
      </c>
      <c r="BR192" s="126"/>
      <c r="BS192" s="141">
        <f t="shared" si="217"/>
        <v>46158.78</v>
      </c>
      <c r="BT192" s="126"/>
      <c r="BU192" s="141">
        <f t="shared" si="218"/>
        <v>39091.67</v>
      </c>
      <c r="BV192" s="126"/>
      <c r="BW192" s="142">
        <f>ROUND((BQ192*BR192+BS192*BT192+BU192*BV192),2)</f>
        <v>0</v>
      </c>
      <c r="BX192" s="359">
        <f t="shared" si="188"/>
        <v>60</v>
      </c>
      <c r="BY192" s="360">
        <f t="shared" si="186"/>
        <v>60</v>
      </c>
      <c r="BZ192" s="117"/>
    </row>
    <row r="193" spans="1:78" s="193" customFormat="1" ht="37.5">
      <c r="A193" s="190"/>
      <c r="B193" s="361" t="s">
        <v>540</v>
      </c>
      <c r="C193" s="272"/>
      <c r="D193" s="141">
        <f t="shared" si="190"/>
        <v>31250.82</v>
      </c>
      <c r="E193" s="538">
        <f>SUM(E191:E192)</f>
        <v>182</v>
      </c>
      <c r="F193" s="141">
        <f t="shared" si="191"/>
        <v>38535.26</v>
      </c>
      <c r="G193" s="538">
        <f>SUM(G191:G192)</f>
        <v>202</v>
      </c>
      <c r="H193" s="141">
        <f t="shared" si="192"/>
        <v>36779.949999999997</v>
      </c>
      <c r="I193" s="538">
        <f>SUM(I191:I192)</f>
        <v>48</v>
      </c>
      <c r="J193" s="300">
        <f>SUM(J191:J192)</f>
        <v>15237209.360000001</v>
      </c>
      <c r="K193" s="141">
        <f t="shared" si="193"/>
        <v>35546.49</v>
      </c>
      <c r="L193" s="300">
        <f>SUM(L191:L192)</f>
        <v>0</v>
      </c>
      <c r="M193" s="141">
        <f t="shared" si="194"/>
        <v>43923.6</v>
      </c>
      <c r="N193" s="300">
        <f>SUM(N191:N192)</f>
        <v>0</v>
      </c>
      <c r="O193" s="141">
        <f t="shared" si="195"/>
        <v>41904.99</v>
      </c>
      <c r="P193" s="300">
        <f>SUM(P191:P192)</f>
        <v>0</v>
      </c>
      <c r="Q193" s="300">
        <f>SUM(Q191:Q192)</f>
        <v>0</v>
      </c>
      <c r="R193" s="141">
        <f t="shared" si="196"/>
        <v>41274.050000000003</v>
      </c>
      <c r="S193" s="300">
        <f>SUM(S191:S192)</f>
        <v>0</v>
      </c>
      <c r="T193" s="141">
        <f t="shared" si="197"/>
        <v>51108.05</v>
      </c>
      <c r="U193" s="300">
        <f>SUM(U191:U192)</f>
        <v>0</v>
      </c>
      <c r="V193" s="141">
        <f t="shared" si="198"/>
        <v>48738.38</v>
      </c>
      <c r="W193" s="300">
        <f>SUM(W191:W192)</f>
        <v>0</v>
      </c>
      <c r="X193" s="300">
        <f>SUM(X191:X192)</f>
        <v>0</v>
      </c>
      <c r="Y193" s="141">
        <f t="shared" si="199"/>
        <v>45569.73</v>
      </c>
      <c r="Z193" s="538">
        <f>SUM(Z191:Z192)</f>
        <v>0</v>
      </c>
      <c r="AA193" s="141">
        <f t="shared" si="200"/>
        <v>56496.39</v>
      </c>
      <c r="AB193" s="538">
        <f>SUM(AB191:AB192)</f>
        <v>0</v>
      </c>
      <c r="AC193" s="300">
        <f>SUM(AC191:AC192)</f>
        <v>0</v>
      </c>
      <c r="AD193" s="141">
        <f t="shared" si="201"/>
        <v>54161.08</v>
      </c>
      <c r="AE193" s="538">
        <f>SUM(AE191:AE192)</f>
        <v>7</v>
      </c>
      <c r="AF193" s="141">
        <f t="shared" si="202"/>
        <v>67273.070000000007</v>
      </c>
      <c r="AG193" s="538">
        <f>SUM(AG191:AG192)</f>
        <v>8</v>
      </c>
      <c r="AH193" s="141">
        <f t="shared" si="203"/>
        <v>64113.51</v>
      </c>
      <c r="AI193" s="538">
        <f>SUM(AI191:AI192)</f>
        <v>0</v>
      </c>
      <c r="AJ193" s="300">
        <f>SUM(AJ191:AJ192)</f>
        <v>917312.12000000011</v>
      </c>
      <c r="AK193" s="141">
        <f t="shared" si="204"/>
        <v>29360.82</v>
      </c>
      <c r="AL193" s="300">
        <f>SUM(AL191:AL192)</f>
        <v>0</v>
      </c>
      <c r="AM193" s="141">
        <f t="shared" si="205"/>
        <v>36645.26</v>
      </c>
      <c r="AN193" s="300">
        <f>SUM(AN191:AN192)</f>
        <v>0</v>
      </c>
      <c r="AO193" s="141">
        <f t="shared" si="206"/>
        <v>34889.949999999997</v>
      </c>
      <c r="AP193" s="300">
        <f>SUM(AP191:AP192)</f>
        <v>0</v>
      </c>
      <c r="AQ193" s="300">
        <f>SUM(AQ191:AQ192)</f>
        <v>0</v>
      </c>
      <c r="AR193" s="141">
        <f t="shared" si="207"/>
        <v>35718.379999999997</v>
      </c>
      <c r="AS193" s="538">
        <f>SUM(AS191:AS192)</f>
        <v>14</v>
      </c>
      <c r="AT193" s="300">
        <f>SUM(AT191:AT192)</f>
        <v>500057.32</v>
      </c>
      <c r="AU193" s="750">
        <f>SUM(AU191:AU192)</f>
        <v>16654578.800000001</v>
      </c>
      <c r="AV193" s="300">
        <f>SUM(AV191:AV192)</f>
        <v>0</v>
      </c>
      <c r="AW193" s="141">
        <f t="shared" si="208"/>
        <v>65258.22</v>
      </c>
      <c r="AX193" s="300">
        <f>SUM(AX191:AX192)</f>
        <v>0</v>
      </c>
      <c r="AY193" s="141">
        <f t="shared" si="209"/>
        <v>81192.94</v>
      </c>
      <c r="AZ193" s="300">
        <f>SUM(AZ191:AZ192)</f>
        <v>0</v>
      </c>
      <c r="BA193" s="141">
        <f t="shared" si="210"/>
        <v>77353.2</v>
      </c>
      <c r="BB193" s="300">
        <f>SUM(BB191:BB192)</f>
        <v>0</v>
      </c>
      <c r="BC193" s="300">
        <f>SUM(BC191:BC192)</f>
        <v>0</v>
      </c>
      <c r="BD193" s="141">
        <f t="shared" si="211"/>
        <v>77787.27</v>
      </c>
      <c r="BE193" s="300">
        <f>SUM(BE191:BE192)</f>
        <v>0</v>
      </c>
      <c r="BF193" s="141">
        <f t="shared" si="212"/>
        <v>96908.93</v>
      </c>
      <c r="BG193" s="300">
        <f>SUM(BG191:BG192)</f>
        <v>0</v>
      </c>
      <c r="BH193" s="300">
        <f>SUM(BH191:BH192)</f>
        <v>0</v>
      </c>
      <c r="BI193" s="300">
        <f>SUM(BI191:BI192)</f>
        <v>0</v>
      </c>
      <c r="BJ193" s="141">
        <f t="shared" si="213"/>
        <v>25708.01</v>
      </c>
      <c r="BK193" s="300">
        <f>SUM(BK191:BK192)</f>
        <v>0</v>
      </c>
      <c r="BL193" s="141">
        <f t="shared" si="214"/>
        <v>27763.9</v>
      </c>
      <c r="BM193" s="538">
        <f>SUM(BM191:BM192)</f>
        <v>0</v>
      </c>
      <c r="BN193" s="141">
        <f t="shared" si="215"/>
        <v>23851.91</v>
      </c>
      <c r="BO193" s="538">
        <f>SUM(BO191:BO192)</f>
        <v>0</v>
      </c>
      <c r="BP193" s="300">
        <f>SUM(BP191:BP192)</f>
        <v>0</v>
      </c>
      <c r="BQ193" s="141">
        <f t="shared" si="216"/>
        <v>42444.76</v>
      </c>
      <c r="BR193" s="300">
        <f t="shared" ref="BR193:BX193" si="219">SUM(BR191:BR192)</f>
        <v>0</v>
      </c>
      <c r="BS193" s="141">
        <f t="shared" si="217"/>
        <v>46158.78</v>
      </c>
      <c r="BT193" s="300">
        <f t="shared" si="219"/>
        <v>0</v>
      </c>
      <c r="BU193" s="141">
        <f t="shared" si="218"/>
        <v>39091.67</v>
      </c>
      <c r="BV193" s="300">
        <f t="shared" si="219"/>
        <v>0</v>
      </c>
      <c r="BW193" s="300">
        <f t="shared" si="219"/>
        <v>0</v>
      </c>
      <c r="BX193" s="311">
        <f t="shared" si="219"/>
        <v>461</v>
      </c>
      <c r="BY193" s="158"/>
      <c r="BZ193" s="192"/>
    </row>
    <row r="194" spans="1:78" s="193" customFormat="1" ht="37.5">
      <c r="A194" s="190" t="s">
        <v>396</v>
      </c>
      <c r="B194" s="368" t="s">
        <v>290</v>
      </c>
      <c r="C194" s="369"/>
      <c r="D194" s="141">
        <f t="shared" si="190"/>
        <v>31250.82</v>
      </c>
      <c r="E194" s="538">
        <v>191</v>
      </c>
      <c r="F194" s="141">
        <f t="shared" si="191"/>
        <v>38535.26</v>
      </c>
      <c r="G194" s="538">
        <v>235</v>
      </c>
      <c r="H194" s="141">
        <f t="shared" si="192"/>
        <v>36779.949999999997</v>
      </c>
      <c r="I194" s="538">
        <v>30</v>
      </c>
      <c r="J194" s="142">
        <f>ROUND((D194*E194+F194*G194+H194*I194),2)</f>
        <v>16128091.220000001</v>
      </c>
      <c r="K194" s="141">
        <f t="shared" si="193"/>
        <v>35546.49</v>
      </c>
      <c r="L194" s="370">
        <f>L192+L191+L185</f>
        <v>0</v>
      </c>
      <c r="M194" s="141">
        <f t="shared" si="194"/>
        <v>43923.6</v>
      </c>
      <c r="N194" s="370">
        <f>N192+N191+N185</f>
        <v>0</v>
      </c>
      <c r="O194" s="141">
        <f t="shared" si="195"/>
        <v>41904.99</v>
      </c>
      <c r="P194" s="370">
        <f>P192+P191+P185</f>
        <v>0</v>
      </c>
      <c r="Q194" s="142">
        <f>ROUND((K194*L194+M194*N194+O194*P194),2)</f>
        <v>0</v>
      </c>
      <c r="R194" s="141">
        <f t="shared" si="196"/>
        <v>41274.050000000003</v>
      </c>
      <c r="S194" s="370">
        <f>S192+S191+S185</f>
        <v>0</v>
      </c>
      <c r="T194" s="141">
        <f t="shared" si="197"/>
        <v>51108.05</v>
      </c>
      <c r="U194" s="370">
        <f>U192+U191+U185</f>
        <v>0</v>
      </c>
      <c r="V194" s="141">
        <f t="shared" si="198"/>
        <v>48738.38</v>
      </c>
      <c r="W194" s="370">
        <f>W192+W191+W185</f>
        <v>0</v>
      </c>
      <c r="X194" s="142">
        <f>ROUND((R194*S194+T194*U194+V194*W194),2)</f>
        <v>0</v>
      </c>
      <c r="Y194" s="141">
        <f t="shared" si="199"/>
        <v>45569.73</v>
      </c>
      <c r="Z194" s="538"/>
      <c r="AA194" s="141">
        <f t="shared" si="200"/>
        <v>56496.39</v>
      </c>
      <c r="AB194" s="538"/>
      <c r="AC194" s="142">
        <f>ROUND((Y194*Z194+AA194*AB194),2)</f>
        <v>0</v>
      </c>
      <c r="AD194" s="141">
        <f t="shared" si="201"/>
        <v>54161.08</v>
      </c>
      <c r="AE194" s="538">
        <v>6</v>
      </c>
      <c r="AF194" s="141">
        <f t="shared" si="202"/>
        <v>67273.070000000007</v>
      </c>
      <c r="AG194" s="538">
        <v>11</v>
      </c>
      <c r="AH194" s="141">
        <f t="shared" si="203"/>
        <v>64113.51</v>
      </c>
      <c r="AI194" s="538"/>
      <c r="AJ194" s="142">
        <f>ROUND((AD194*AE194+AF194*AG194+AH194*AI194),2)</f>
        <v>1064970.25</v>
      </c>
      <c r="AK194" s="141">
        <f t="shared" si="204"/>
        <v>29360.82</v>
      </c>
      <c r="AL194" s="370">
        <f>AL192+AL191+AL185</f>
        <v>0</v>
      </c>
      <c r="AM194" s="141">
        <f t="shared" si="205"/>
        <v>36645.26</v>
      </c>
      <c r="AN194" s="370">
        <f>AN192+AN191+AN185</f>
        <v>0</v>
      </c>
      <c r="AO194" s="141">
        <f t="shared" si="206"/>
        <v>34889.949999999997</v>
      </c>
      <c r="AP194" s="370">
        <f>AP192+AP191+AP185</f>
        <v>0</v>
      </c>
      <c r="AQ194" s="142">
        <f>ROUND((AK194*AL194+AM194*AN194+AO194*AP194),2)</f>
        <v>0</v>
      </c>
      <c r="AR194" s="141">
        <f t="shared" si="207"/>
        <v>35718.379999999997</v>
      </c>
      <c r="AS194" s="538"/>
      <c r="AT194" s="142">
        <f>ROUND((AR194*AS194),2)</f>
        <v>0</v>
      </c>
      <c r="AU194" s="143">
        <f>AT194+AQ194+AJ194+AC194+X194+Q194+J194</f>
        <v>17193061.469999999</v>
      </c>
      <c r="AV194" s="370">
        <f>AV192+AV191+AV185</f>
        <v>0</v>
      </c>
      <c r="AW194" s="141">
        <f t="shared" si="208"/>
        <v>65258.22</v>
      </c>
      <c r="AX194" s="370">
        <f>AX192+AX191+AX185</f>
        <v>0</v>
      </c>
      <c r="AY194" s="141">
        <f t="shared" si="209"/>
        <v>81192.94</v>
      </c>
      <c r="AZ194" s="370"/>
      <c r="BA194" s="141">
        <f t="shared" si="210"/>
        <v>77353.2</v>
      </c>
      <c r="BB194" s="370"/>
      <c r="BC194" s="142">
        <f>ROUND((AW194*AX194+AY194*AZ194+BA194*BB194),2)</f>
        <v>0</v>
      </c>
      <c r="BD194" s="141">
        <f t="shared" si="211"/>
        <v>77787.27</v>
      </c>
      <c r="BE194" s="370">
        <f>BE192+BE191+BE185</f>
        <v>0</v>
      </c>
      <c r="BF194" s="141">
        <f t="shared" si="212"/>
        <v>96908.93</v>
      </c>
      <c r="BG194" s="370">
        <f>BG192+BG191+BG185</f>
        <v>0</v>
      </c>
      <c r="BH194" s="142">
        <f>ROUND((BD194*BE194+BF194*BG194),2)</f>
        <v>0</v>
      </c>
      <c r="BI194" s="144">
        <f>BH194+BC194</f>
        <v>0</v>
      </c>
      <c r="BJ194" s="141">
        <f t="shared" si="213"/>
        <v>25708.01</v>
      </c>
      <c r="BK194" s="370">
        <f>BK192+BK191+BK185</f>
        <v>0</v>
      </c>
      <c r="BL194" s="141">
        <f t="shared" si="214"/>
        <v>27763.9</v>
      </c>
      <c r="BM194" s="538">
        <v>1</v>
      </c>
      <c r="BN194" s="141">
        <f t="shared" si="215"/>
        <v>23851.91</v>
      </c>
      <c r="BO194" s="538">
        <v>6</v>
      </c>
      <c r="BP194" s="142">
        <f>ROUND((BJ194*BK194+BL194*BM194+BN194*BO194),2)</f>
        <v>170875.36</v>
      </c>
      <c r="BQ194" s="141">
        <f t="shared" si="216"/>
        <v>42444.76</v>
      </c>
      <c r="BR194" s="370">
        <f>BR192+BR191+BR185</f>
        <v>0</v>
      </c>
      <c r="BS194" s="141">
        <f t="shared" si="217"/>
        <v>46158.78</v>
      </c>
      <c r="BT194" s="370">
        <f>BT192+BT191+BT185</f>
        <v>0</v>
      </c>
      <c r="BU194" s="141">
        <f t="shared" si="218"/>
        <v>39091.67</v>
      </c>
      <c r="BV194" s="370">
        <f>BV192+BV191+BV185</f>
        <v>0</v>
      </c>
      <c r="BW194" s="142">
        <f>ROUND((BQ194*BR194+BS194*BT194+BU194*BV194),2)</f>
        <v>0</v>
      </c>
      <c r="BX194" s="371">
        <f>BY194</f>
        <v>480</v>
      </c>
      <c r="BY194" s="158">
        <f t="shared" si="186"/>
        <v>480</v>
      </c>
      <c r="BZ194" s="192"/>
    </row>
    <row r="195" spans="1:78" s="116" customFormat="1" ht="16.5" hidden="1">
      <c r="A195" s="122" t="s">
        <v>396</v>
      </c>
      <c r="B195" s="123" t="s">
        <v>397</v>
      </c>
      <c r="C195" s="124"/>
      <c r="D195" s="141">
        <f t="shared" si="190"/>
        <v>31250.82</v>
      </c>
      <c r="E195" s="125"/>
      <c r="F195" s="141">
        <f t="shared" si="191"/>
        <v>38535.26</v>
      </c>
      <c r="G195" s="125"/>
      <c r="H195" s="141">
        <f t="shared" si="192"/>
        <v>36779.949999999997</v>
      </c>
      <c r="I195" s="125"/>
      <c r="J195" s="354">
        <f>(D195*E195)+(F195*G195)+(H195*I195)</f>
        <v>0</v>
      </c>
      <c r="K195" s="141">
        <f t="shared" si="193"/>
        <v>35546.49</v>
      </c>
      <c r="L195" s="113"/>
      <c r="M195" s="141">
        <f t="shared" si="194"/>
        <v>43923.6</v>
      </c>
      <c r="N195" s="113"/>
      <c r="O195" s="141">
        <f t="shared" si="195"/>
        <v>41904.99</v>
      </c>
      <c r="P195" s="113"/>
      <c r="Q195" s="354">
        <f>(K195*L195)+(M195*N195)+(O195*P195)</f>
        <v>0</v>
      </c>
      <c r="R195" s="141">
        <f t="shared" si="196"/>
        <v>41274.050000000003</v>
      </c>
      <c r="S195" s="111"/>
      <c r="T195" s="141">
        <f t="shared" si="197"/>
        <v>51108.05</v>
      </c>
      <c r="U195" s="111"/>
      <c r="V195" s="141">
        <f t="shared" si="198"/>
        <v>48738.38</v>
      </c>
      <c r="W195" s="111"/>
      <c r="X195" s="354">
        <f>(R195*S195)+(T195*U195)+(V195*W195)</f>
        <v>0</v>
      </c>
      <c r="Y195" s="141">
        <f t="shared" si="199"/>
        <v>45569.73</v>
      </c>
      <c r="Z195" s="125"/>
      <c r="AA195" s="141">
        <f t="shared" si="200"/>
        <v>56496.39</v>
      </c>
      <c r="AB195" s="125"/>
      <c r="AC195" s="354">
        <f>(Y195*Z195)+(AA195*AB195)</f>
        <v>0</v>
      </c>
      <c r="AD195" s="141">
        <f t="shared" si="201"/>
        <v>54161.08</v>
      </c>
      <c r="AE195" s="125"/>
      <c r="AF195" s="141">
        <f t="shared" si="202"/>
        <v>67273.070000000007</v>
      </c>
      <c r="AG195" s="125"/>
      <c r="AH195" s="141">
        <f t="shared" si="203"/>
        <v>64113.51</v>
      </c>
      <c r="AI195" s="125"/>
      <c r="AJ195" s="354">
        <f>(AD195*AE195)+(AF195*AG195)+(AH195*AI195)</f>
        <v>0</v>
      </c>
      <c r="AK195" s="141">
        <f t="shared" si="204"/>
        <v>29360.82</v>
      </c>
      <c r="AL195" s="113"/>
      <c r="AM195" s="141">
        <f t="shared" si="205"/>
        <v>36645.26</v>
      </c>
      <c r="AN195" s="113"/>
      <c r="AO195" s="141">
        <f t="shared" si="206"/>
        <v>34889.949999999997</v>
      </c>
      <c r="AP195" s="113"/>
      <c r="AQ195" s="354">
        <f>(AK195*AL195)+(AM195*AN195)+(AO195*AP195)</f>
        <v>0</v>
      </c>
      <c r="AR195" s="141">
        <f t="shared" si="207"/>
        <v>35718.379999999997</v>
      </c>
      <c r="AS195" s="125"/>
      <c r="AT195" s="354">
        <f>AR195*AS195</f>
        <v>0</v>
      </c>
      <c r="AU195" s="1074">
        <f>AT195+AJ195+AC195+X195+J195</f>
        <v>0</v>
      </c>
      <c r="AV195" s="120"/>
      <c r="AW195" s="141">
        <f t="shared" si="208"/>
        <v>65258.22</v>
      </c>
      <c r="AX195" s="112"/>
      <c r="AY195" s="141">
        <f t="shared" si="209"/>
        <v>81192.94</v>
      </c>
      <c r="AZ195" s="112"/>
      <c r="BA195" s="141">
        <f t="shared" si="210"/>
        <v>77353.2</v>
      </c>
      <c r="BB195" s="112"/>
      <c r="BC195" s="354">
        <f>(AW195*AX195)+(AY195*AZ195)+(BA195*BB195)</f>
        <v>0</v>
      </c>
      <c r="BD195" s="141">
        <f t="shared" si="211"/>
        <v>77787.27</v>
      </c>
      <c r="BE195" s="111"/>
      <c r="BF195" s="141">
        <f t="shared" si="212"/>
        <v>96908.93</v>
      </c>
      <c r="BG195" s="111"/>
      <c r="BH195" s="111"/>
      <c r="BI195" s="111"/>
      <c r="BJ195" s="141">
        <f t="shared" si="213"/>
        <v>25708.01</v>
      </c>
      <c r="BK195" s="111"/>
      <c r="BL195" s="141">
        <f t="shared" si="214"/>
        <v>27763.9</v>
      </c>
      <c r="BM195" s="125"/>
      <c r="BN195" s="141">
        <f t="shared" si="215"/>
        <v>23851.91</v>
      </c>
      <c r="BO195" s="125"/>
      <c r="BP195" s="354">
        <f>(BJ195*BK195)+(BL195*BM195)+(BN195*BO195)</f>
        <v>0</v>
      </c>
      <c r="BQ195" s="141">
        <f t="shared" si="216"/>
        <v>42444.76</v>
      </c>
      <c r="BR195" s="111"/>
      <c r="BS195" s="141">
        <f t="shared" si="217"/>
        <v>46158.78</v>
      </c>
      <c r="BT195" s="111"/>
      <c r="BU195" s="141">
        <f t="shared" si="218"/>
        <v>39091.67</v>
      </c>
      <c r="BV195" s="111"/>
      <c r="BW195" s="354">
        <f>(BQ195*BR195)+(BS195*BT195)+(BU195*BV195)</f>
        <v>0</v>
      </c>
      <c r="BX195" s="372">
        <f t="shared" si="188"/>
        <v>0</v>
      </c>
      <c r="BY195" s="360">
        <f t="shared" si="186"/>
        <v>0</v>
      </c>
      <c r="BZ195" s="117"/>
    </row>
    <row r="196" spans="1:78" s="116" customFormat="1" ht="16.5" hidden="1">
      <c r="A196" s="122" t="s">
        <v>398</v>
      </c>
      <c r="B196" s="123" t="s">
        <v>397</v>
      </c>
      <c r="C196" s="124"/>
      <c r="D196" s="141">
        <f t="shared" si="190"/>
        <v>31250.82</v>
      </c>
      <c r="E196" s="114"/>
      <c r="F196" s="141">
        <f t="shared" si="191"/>
        <v>38535.26</v>
      </c>
      <c r="G196" s="114"/>
      <c r="H196" s="141">
        <f t="shared" si="192"/>
        <v>36779.949999999997</v>
      </c>
      <c r="I196" s="114"/>
      <c r="J196" s="354">
        <f>(D196*E196)+(F196*G196)+(H196*I196)</f>
        <v>0</v>
      </c>
      <c r="K196" s="141">
        <f t="shared" si="193"/>
        <v>35546.49</v>
      </c>
      <c r="L196" s="113"/>
      <c r="M196" s="141">
        <f t="shared" si="194"/>
        <v>43923.6</v>
      </c>
      <c r="N196" s="113"/>
      <c r="O196" s="141">
        <f t="shared" si="195"/>
        <v>41904.99</v>
      </c>
      <c r="P196" s="113"/>
      <c r="Q196" s="354">
        <f>(K196*L196)+(M196*N196)+(O196*P196)</f>
        <v>0</v>
      </c>
      <c r="R196" s="141">
        <f t="shared" si="196"/>
        <v>41274.050000000003</v>
      </c>
      <c r="S196" s="111"/>
      <c r="T196" s="141">
        <f t="shared" si="197"/>
        <v>51108.05</v>
      </c>
      <c r="U196" s="111"/>
      <c r="V196" s="141">
        <f t="shared" si="198"/>
        <v>48738.38</v>
      </c>
      <c r="W196" s="111"/>
      <c r="X196" s="354">
        <f>(R196*S196)+(T196*U196)+(V196*W196)</f>
        <v>0</v>
      </c>
      <c r="Y196" s="141">
        <f t="shared" si="199"/>
        <v>45569.73</v>
      </c>
      <c r="Z196" s="114"/>
      <c r="AA196" s="141">
        <f t="shared" si="200"/>
        <v>56496.39</v>
      </c>
      <c r="AB196" s="114"/>
      <c r="AC196" s="354">
        <f>(Y196*Z196)+(AA196*AB196)</f>
        <v>0</v>
      </c>
      <c r="AD196" s="141">
        <f t="shared" si="201"/>
        <v>54161.08</v>
      </c>
      <c r="AE196" s="114"/>
      <c r="AF196" s="141">
        <f t="shared" si="202"/>
        <v>67273.070000000007</v>
      </c>
      <c r="AG196" s="114"/>
      <c r="AH196" s="141">
        <f t="shared" si="203"/>
        <v>64113.51</v>
      </c>
      <c r="AI196" s="114"/>
      <c r="AJ196" s="354">
        <f>(AD196*AE196)+(AF196*AG196)+(AH196*AI196)</f>
        <v>0</v>
      </c>
      <c r="AK196" s="141">
        <f t="shared" si="204"/>
        <v>29360.82</v>
      </c>
      <c r="AL196" s="113"/>
      <c r="AM196" s="141">
        <f t="shared" si="205"/>
        <v>36645.26</v>
      </c>
      <c r="AN196" s="113"/>
      <c r="AO196" s="141">
        <f t="shared" si="206"/>
        <v>34889.949999999997</v>
      </c>
      <c r="AP196" s="113"/>
      <c r="AQ196" s="354">
        <f>(AK196*AL196)+(AM196*AN196)+(AO196*AP196)</f>
        <v>0</v>
      </c>
      <c r="AR196" s="141">
        <f t="shared" si="207"/>
        <v>35718.379999999997</v>
      </c>
      <c r="AS196" s="114"/>
      <c r="AT196" s="354">
        <f>AR196*AS196</f>
        <v>0</v>
      </c>
      <c r="AU196" s="1074">
        <f>AT196+AJ196+AC196+X196+J196</f>
        <v>0</v>
      </c>
      <c r="AV196" s="120"/>
      <c r="AW196" s="141">
        <f t="shared" si="208"/>
        <v>65258.22</v>
      </c>
      <c r="AX196" s="112"/>
      <c r="AY196" s="141">
        <f t="shared" si="209"/>
        <v>81192.94</v>
      </c>
      <c r="AZ196" s="112"/>
      <c r="BA196" s="141">
        <f t="shared" si="210"/>
        <v>77353.2</v>
      </c>
      <c r="BB196" s="112"/>
      <c r="BC196" s="354">
        <f>(AW196*AX196)+(AY196*AZ196)+(BA196*BB196)</f>
        <v>0</v>
      </c>
      <c r="BD196" s="141">
        <f t="shared" si="211"/>
        <v>77787.27</v>
      </c>
      <c r="BE196" s="111"/>
      <c r="BF196" s="141">
        <f t="shared" si="212"/>
        <v>96908.93</v>
      </c>
      <c r="BG196" s="111"/>
      <c r="BH196" s="111"/>
      <c r="BI196" s="111"/>
      <c r="BJ196" s="141">
        <f t="shared" si="213"/>
        <v>25708.01</v>
      </c>
      <c r="BK196" s="111"/>
      <c r="BL196" s="141">
        <f t="shared" si="214"/>
        <v>27763.9</v>
      </c>
      <c r="BM196" s="114"/>
      <c r="BN196" s="141">
        <f t="shared" si="215"/>
        <v>23851.91</v>
      </c>
      <c r="BO196" s="114"/>
      <c r="BP196" s="354">
        <f>(BJ196*BK196)+(BL196*BM196)+(BN196*BO196)</f>
        <v>0</v>
      </c>
      <c r="BQ196" s="141">
        <f t="shared" si="216"/>
        <v>42444.76</v>
      </c>
      <c r="BR196" s="111"/>
      <c r="BS196" s="141">
        <f t="shared" si="217"/>
        <v>46158.78</v>
      </c>
      <c r="BT196" s="111"/>
      <c r="BU196" s="141">
        <f t="shared" si="218"/>
        <v>39091.67</v>
      </c>
      <c r="BV196" s="111"/>
      <c r="BW196" s="354">
        <f>(BQ196*BR196)+(BS196*BT196)+(BU196*BV196)</f>
        <v>0</v>
      </c>
      <c r="BX196" s="372">
        <f t="shared" si="188"/>
        <v>0</v>
      </c>
      <c r="BY196" s="360">
        <f t="shared" si="186"/>
        <v>0</v>
      </c>
      <c r="BZ196" s="117"/>
    </row>
    <row r="197" spans="1:78" s="116" customFormat="1" ht="16.5" hidden="1">
      <c r="A197" s="122" t="s">
        <v>399</v>
      </c>
      <c r="B197" s="123" t="s">
        <v>397</v>
      </c>
      <c r="C197" s="124"/>
      <c r="D197" s="141">
        <f t="shared" si="190"/>
        <v>31250.82</v>
      </c>
      <c r="E197" s="113"/>
      <c r="F197" s="141">
        <f t="shared" si="191"/>
        <v>38535.26</v>
      </c>
      <c r="G197" s="113"/>
      <c r="H197" s="141">
        <f t="shared" si="192"/>
        <v>36779.949999999997</v>
      </c>
      <c r="I197" s="113"/>
      <c r="J197" s="354">
        <f>(D197*E197)+(F197*G197)+(H197*I197)</f>
        <v>0</v>
      </c>
      <c r="K197" s="141">
        <f t="shared" si="193"/>
        <v>35546.49</v>
      </c>
      <c r="L197" s="113"/>
      <c r="M197" s="141">
        <f t="shared" si="194"/>
        <v>43923.6</v>
      </c>
      <c r="N197" s="113"/>
      <c r="O197" s="141">
        <f t="shared" si="195"/>
        <v>41904.99</v>
      </c>
      <c r="P197" s="113"/>
      <c r="Q197" s="354">
        <f>(K197*L197)+(M197*N197)+(O197*P197)</f>
        <v>0</v>
      </c>
      <c r="R197" s="141">
        <f t="shared" si="196"/>
        <v>41274.050000000003</v>
      </c>
      <c r="S197" s="111"/>
      <c r="T197" s="141">
        <f t="shared" si="197"/>
        <v>51108.05</v>
      </c>
      <c r="U197" s="111"/>
      <c r="V197" s="141">
        <f t="shared" si="198"/>
        <v>48738.38</v>
      </c>
      <c r="W197" s="111"/>
      <c r="X197" s="354">
        <f>(R197*S197)+(T197*U197)+(V197*W197)</f>
        <v>0</v>
      </c>
      <c r="Y197" s="141">
        <f t="shared" si="199"/>
        <v>45569.73</v>
      </c>
      <c r="Z197" s="113"/>
      <c r="AA197" s="141">
        <f t="shared" si="200"/>
        <v>56496.39</v>
      </c>
      <c r="AB197" s="113"/>
      <c r="AC197" s="354">
        <f>(Y197*Z197)+(AA197*AB197)</f>
        <v>0</v>
      </c>
      <c r="AD197" s="141">
        <f t="shared" si="201"/>
        <v>54161.08</v>
      </c>
      <c r="AE197" s="113"/>
      <c r="AF197" s="141">
        <f t="shared" si="202"/>
        <v>67273.070000000007</v>
      </c>
      <c r="AG197" s="113"/>
      <c r="AH197" s="141">
        <f t="shared" si="203"/>
        <v>64113.51</v>
      </c>
      <c r="AI197" s="113"/>
      <c r="AJ197" s="354">
        <f>(AD197*AE197)+(AF197*AG197)+(AH197*AI197)</f>
        <v>0</v>
      </c>
      <c r="AK197" s="141">
        <f t="shared" si="204"/>
        <v>29360.82</v>
      </c>
      <c r="AL197" s="113"/>
      <c r="AM197" s="141">
        <f t="shared" si="205"/>
        <v>36645.26</v>
      </c>
      <c r="AN197" s="113"/>
      <c r="AO197" s="141">
        <f t="shared" si="206"/>
        <v>34889.949999999997</v>
      </c>
      <c r="AP197" s="113"/>
      <c r="AQ197" s="354">
        <f>(AK197*AL197)+(AM197*AN197)+(AO197*AP197)</f>
        <v>0</v>
      </c>
      <c r="AR197" s="141">
        <f t="shared" si="207"/>
        <v>35718.379999999997</v>
      </c>
      <c r="AS197" s="113"/>
      <c r="AT197" s="354">
        <f>AR197*AS197</f>
        <v>0</v>
      </c>
      <c r="AU197" s="1074">
        <f>AT197+AJ197+AC197+X197+J197</f>
        <v>0</v>
      </c>
      <c r="AV197" s="115"/>
      <c r="AW197" s="141">
        <f t="shared" si="208"/>
        <v>65258.22</v>
      </c>
      <c r="AX197" s="113"/>
      <c r="AY197" s="141">
        <f t="shared" si="209"/>
        <v>81192.94</v>
      </c>
      <c r="AZ197" s="113"/>
      <c r="BA197" s="141">
        <f t="shared" si="210"/>
        <v>77353.2</v>
      </c>
      <c r="BB197" s="113"/>
      <c r="BC197" s="354">
        <f>(AW197*AX197)+(AY197*AZ197)+(BA197*BB197)</f>
        <v>0</v>
      </c>
      <c r="BD197" s="141">
        <f t="shared" si="211"/>
        <v>77787.27</v>
      </c>
      <c r="BE197" s="111"/>
      <c r="BF197" s="141">
        <f t="shared" si="212"/>
        <v>96908.93</v>
      </c>
      <c r="BG197" s="111"/>
      <c r="BH197" s="111"/>
      <c r="BI197" s="111"/>
      <c r="BJ197" s="141">
        <f t="shared" si="213"/>
        <v>25708.01</v>
      </c>
      <c r="BK197" s="111"/>
      <c r="BL197" s="141">
        <f t="shared" si="214"/>
        <v>27763.9</v>
      </c>
      <c r="BM197" s="113"/>
      <c r="BN197" s="141">
        <f t="shared" si="215"/>
        <v>23851.91</v>
      </c>
      <c r="BO197" s="113"/>
      <c r="BP197" s="354">
        <f>(BJ197*BK197)+(BL197*BM197)+(BN197*BO197)</f>
        <v>0</v>
      </c>
      <c r="BQ197" s="141">
        <f t="shared" si="216"/>
        <v>42444.76</v>
      </c>
      <c r="BR197" s="111"/>
      <c r="BS197" s="141">
        <f t="shared" si="217"/>
        <v>46158.78</v>
      </c>
      <c r="BT197" s="111"/>
      <c r="BU197" s="141">
        <f t="shared" si="218"/>
        <v>39091.67</v>
      </c>
      <c r="BV197" s="111"/>
      <c r="BW197" s="354">
        <f>(BQ197*BR197)+(BS197*BT197)+(BU197*BV197)</f>
        <v>0</v>
      </c>
      <c r="BX197" s="372">
        <f>BV197+BT197+BR197+BO197+BM197+BK197+BG197+BE197+BB197+AZ197+AX197+AS197+AP197+AN197+AL197+AI197+AG197+AE197+AB197+Z197+W197+U197+S197+P197+N197+L197+I197+G197+E197</f>
        <v>0</v>
      </c>
      <c r="BY197" s="360">
        <f t="shared" si="186"/>
        <v>0</v>
      </c>
      <c r="BZ197" s="117"/>
    </row>
    <row r="198" spans="1:78" s="116" customFormat="1" ht="16.5" hidden="1">
      <c r="A198" s="122" t="s">
        <v>400</v>
      </c>
      <c r="B198" s="123" t="s">
        <v>397</v>
      </c>
      <c r="C198" s="124"/>
      <c r="D198" s="141">
        <f t="shared" si="190"/>
        <v>31250.82</v>
      </c>
      <c r="E198" s="114"/>
      <c r="F198" s="141">
        <f t="shared" si="191"/>
        <v>38535.26</v>
      </c>
      <c r="G198" s="114"/>
      <c r="H198" s="141">
        <f t="shared" si="192"/>
        <v>36779.949999999997</v>
      </c>
      <c r="I198" s="114"/>
      <c r="J198" s="354">
        <f>(D198*E198)+(F198*G198)+(H198*I198)</f>
        <v>0</v>
      </c>
      <c r="K198" s="141">
        <f t="shared" si="193"/>
        <v>35546.49</v>
      </c>
      <c r="L198" s="114"/>
      <c r="M198" s="141">
        <f t="shared" si="194"/>
        <v>43923.6</v>
      </c>
      <c r="N198" s="114"/>
      <c r="O198" s="141">
        <f t="shared" si="195"/>
        <v>41904.99</v>
      </c>
      <c r="P198" s="114"/>
      <c r="Q198" s="354">
        <f>(K198*L198)+(M198*N198)+(O198*P198)</f>
        <v>0</v>
      </c>
      <c r="R198" s="141">
        <f t="shared" si="196"/>
        <v>41274.050000000003</v>
      </c>
      <c r="S198" s="119"/>
      <c r="T198" s="141">
        <f t="shared" si="197"/>
        <v>51108.05</v>
      </c>
      <c r="U198" s="119"/>
      <c r="V198" s="141">
        <f t="shared" si="198"/>
        <v>48738.38</v>
      </c>
      <c r="W198" s="119"/>
      <c r="X198" s="354">
        <f>(R198*S198)+(T198*U198)+(V198*W198)</f>
        <v>0</v>
      </c>
      <c r="Y198" s="141">
        <f t="shared" si="199"/>
        <v>45569.73</v>
      </c>
      <c r="Z198" s="114"/>
      <c r="AA198" s="141">
        <f t="shared" si="200"/>
        <v>56496.39</v>
      </c>
      <c r="AB198" s="114"/>
      <c r="AC198" s="354">
        <f>(Y198*Z198)+(AA198*AB198)</f>
        <v>0</v>
      </c>
      <c r="AD198" s="141">
        <f t="shared" si="201"/>
        <v>54161.08</v>
      </c>
      <c r="AE198" s="114"/>
      <c r="AF198" s="141">
        <f t="shared" si="202"/>
        <v>67273.070000000007</v>
      </c>
      <c r="AG198" s="114"/>
      <c r="AH198" s="141">
        <f t="shared" si="203"/>
        <v>64113.51</v>
      </c>
      <c r="AI198" s="114"/>
      <c r="AJ198" s="354">
        <f>(AD198*AE198)+(AF198*AG198)+(AH198*AI198)</f>
        <v>0</v>
      </c>
      <c r="AK198" s="141">
        <f t="shared" si="204"/>
        <v>29360.82</v>
      </c>
      <c r="AL198" s="126"/>
      <c r="AM198" s="141">
        <f t="shared" si="205"/>
        <v>36645.26</v>
      </c>
      <c r="AN198" s="126"/>
      <c r="AO198" s="141">
        <f t="shared" si="206"/>
        <v>34889.949999999997</v>
      </c>
      <c r="AP198" s="126"/>
      <c r="AQ198" s="354">
        <f>(AK198*AL198)+(AM198*AN198)+(AO198*AP198)</f>
        <v>0</v>
      </c>
      <c r="AR198" s="141">
        <f t="shared" si="207"/>
        <v>35718.379999999997</v>
      </c>
      <c r="AS198" s="114"/>
      <c r="AT198" s="354">
        <f>AR198*AS198</f>
        <v>0</v>
      </c>
      <c r="AU198" s="1074">
        <f>AT198+AJ198+AC198+X198+J198</f>
        <v>0</v>
      </c>
      <c r="AV198" s="115"/>
      <c r="AW198" s="141">
        <f t="shared" si="208"/>
        <v>65258.22</v>
      </c>
      <c r="AX198" s="126"/>
      <c r="AY198" s="141">
        <f t="shared" si="209"/>
        <v>81192.94</v>
      </c>
      <c r="AZ198" s="126"/>
      <c r="BA198" s="141">
        <f t="shared" si="210"/>
        <v>77353.2</v>
      </c>
      <c r="BB198" s="126"/>
      <c r="BC198" s="354">
        <f>(AW198*AX198)+(AY198*AZ198)+(BA198*BB198)</f>
        <v>0</v>
      </c>
      <c r="BD198" s="141">
        <f t="shared" si="211"/>
        <v>77787.27</v>
      </c>
      <c r="BE198" s="119"/>
      <c r="BF198" s="141">
        <f t="shared" si="212"/>
        <v>96908.93</v>
      </c>
      <c r="BG198" s="119"/>
      <c r="BH198" s="111"/>
      <c r="BI198" s="111"/>
      <c r="BJ198" s="141">
        <f t="shared" si="213"/>
        <v>25708.01</v>
      </c>
      <c r="BK198" s="119"/>
      <c r="BL198" s="141">
        <f t="shared" si="214"/>
        <v>27763.9</v>
      </c>
      <c r="BM198" s="114"/>
      <c r="BN198" s="141">
        <f t="shared" si="215"/>
        <v>23851.91</v>
      </c>
      <c r="BO198" s="114"/>
      <c r="BP198" s="354">
        <f>(BJ198*BK198)+(BL198*BM198)+(BN198*BO198)</f>
        <v>0</v>
      </c>
      <c r="BQ198" s="141">
        <f t="shared" si="216"/>
        <v>42444.76</v>
      </c>
      <c r="BR198" s="119"/>
      <c r="BS198" s="141">
        <f t="shared" si="217"/>
        <v>46158.78</v>
      </c>
      <c r="BT198" s="119"/>
      <c r="BU198" s="141">
        <f t="shared" si="218"/>
        <v>39091.67</v>
      </c>
      <c r="BV198" s="119"/>
      <c r="BW198" s="354">
        <f>(BQ198*BR198)+(BS198*BT198)+(BU198*BV198)</f>
        <v>0</v>
      </c>
      <c r="BX198" s="372">
        <f>BV198+BT198+BR198+BO198+BM198+BK198+BG198+BE198+BB198+AZ198+AX198+AS198+AP198+AN198+AL198+AI198+AG198+AE198+AB198+Z198+W198+U198+S198+P198+N198+L198+I198+G198+E198</f>
        <v>0</v>
      </c>
      <c r="BY198" s="360">
        <f t="shared" si="186"/>
        <v>0</v>
      </c>
      <c r="BZ198" s="117"/>
    </row>
    <row r="199" spans="1:78" s="106" customFormat="1" ht="17.25" thickBot="1">
      <c r="A199" s="194"/>
      <c r="B199" s="195" t="s">
        <v>541</v>
      </c>
      <c r="C199" s="195"/>
      <c r="D199" s="141">
        <f t="shared" si="190"/>
        <v>31250.82</v>
      </c>
      <c r="E199" s="373">
        <f>E194+E193+E190+E187</f>
        <v>857</v>
      </c>
      <c r="F199" s="141">
        <f t="shared" si="191"/>
        <v>38535.26</v>
      </c>
      <c r="G199" s="373">
        <f>G194+G193+G190+G187</f>
        <v>993</v>
      </c>
      <c r="H199" s="141">
        <f t="shared" si="192"/>
        <v>36779.949999999997</v>
      </c>
      <c r="I199" s="373">
        <f>I194+I193+I190+I187</f>
        <v>193</v>
      </c>
      <c r="J199" s="373">
        <f>J194+J193+J190+J187</f>
        <v>72145996.270000011</v>
      </c>
      <c r="K199" s="141">
        <f t="shared" si="193"/>
        <v>35546.49</v>
      </c>
      <c r="L199" s="373">
        <f>L194+L193+L190+L187</f>
        <v>0</v>
      </c>
      <c r="M199" s="141">
        <f t="shared" si="194"/>
        <v>43923.6</v>
      </c>
      <c r="N199" s="373">
        <f>N194+N193+N190+N187</f>
        <v>0</v>
      </c>
      <c r="O199" s="141">
        <f t="shared" si="195"/>
        <v>41904.99</v>
      </c>
      <c r="P199" s="373">
        <f>P194+P193+P190+P187</f>
        <v>0</v>
      </c>
      <c r="Q199" s="373">
        <f>Q194+Q193+Q190+Q187</f>
        <v>0</v>
      </c>
      <c r="R199" s="141">
        <f t="shared" si="196"/>
        <v>41274.050000000003</v>
      </c>
      <c r="S199" s="373">
        <f>S194+S193+S190+S187</f>
        <v>0</v>
      </c>
      <c r="T199" s="141">
        <f t="shared" si="197"/>
        <v>51108.05</v>
      </c>
      <c r="U199" s="373">
        <f>U194+U193+U190+U187</f>
        <v>0</v>
      </c>
      <c r="V199" s="141">
        <f t="shared" si="198"/>
        <v>48738.38</v>
      </c>
      <c r="W199" s="373">
        <f>W194+W193+W190+W187</f>
        <v>0</v>
      </c>
      <c r="X199" s="373">
        <f>X194+X193+X190+X187</f>
        <v>0</v>
      </c>
      <c r="Y199" s="141">
        <f t="shared" si="199"/>
        <v>45569.73</v>
      </c>
      <c r="Z199" s="373">
        <f>Z194+Z193+Z190+Z187</f>
        <v>13</v>
      </c>
      <c r="AA199" s="141">
        <f t="shared" si="200"/>
        <v>56496.39</v>
      </c>
      <c r="AB199" s="373">
        <f>AB194+AB193+AB190+AB187</f>
        <v>0</v>
      </c>
      <c r="AC199" s="373">
        <f>AC194+AC193+AC190+AC187</f>
        <v>592406.49</v>
      </c>
      <c r="AD199" s="141">
        <f t="shared" si="201"/>
        <v>54161.08</v>
      </c>
      <c r="AE199" s="373">
        <f>AE194+AE193+AE190+AE187</f>
        <v>19</v>
      </c>
      <c r="AF199" s="141">
        <f t="shared" si="202"/>
        <v>67273.070000000007</v>
      </c>
      <c r="AG199" s="373">
        <f>AG194+AG193+AG190+AG187</f>
        <v>40</v>
      </c>
      <c r="AH199" s="141">
        <f t="shared" si="203"/>
        <v>64113.51</v>
      </c>
      <c r="AI199" s="373">
        <f>AI194+AI193+AI190+AI187</f>
        <v>1</v>
      </c>
      <c r="AJ199" s="373">
        <f>AJ194+AJ193+AJ190+AJ187</f>
        <v>3784096.83</v>
      </c>
      <c r="AK199" s="141">
        <f t="shared" si="204"/>
        <v>29360.82</v>
      </c>
      <c r="AL199" s="373">
        <f>AL194+AL193+AL190+AL187</f>
        <v>0</v>
      </c>
      <c r="AM199" s="141">
        <f t="shared" si="205"/>
        <v>36645.26</v>
      </c>
      <c r="AN199" s="373">
        <f>AN194+AN193+AN190+AN187</f>
        <v>0</v>
      </c>
      <c r="AO199" s="141">
        <f t="shared" si="206"/>
        <v>34889.949999999997</v>
      </c>
      <c r="AP199" s="373">
        <f>AP194+AP193+AP190+AP187</f>
        <v>0</v>
      </c>
      <c r="AQ199" s="373">
        <f>AQ194+AQ193+AQ190+AQ187</f>
        <v>0</v>
      </c>
      <c r="AR199" s="141">
        <f t="shared" si="207"/>
        <v>35718.379999999997</v>
      </c>
      <c r="AS199" s="373">
        <f>AS194+AS193+AS190+AS187</f>
        <v>25</v>
      </c>
      <c r="AT199" s="373">
        <f>AT194+AT193+AT190+AT187</f>
        <v>892959.5</v>
      </c>
      <c r="AU199" s="857">
        <f>AU194+AU193+AU190+AU187</f>
        <v>77415459.090000004</v>
      </c>
      <c r="AV199" s="373">
        <f>'старое не смотреть'!D333-BP199</f>
        <v>100672953.10999998</v>
      </c>
      <c r="AW199" s="141">
        <f t="shared" si="208"/>
        <v>65258.22</v>
      </c>
      <c r="AX199" s="373">
        <f>AX194+AX193+AX190+AX187</f>
        <v>0</v>
      </c>
      <c r="AY199" s="141">
        <f t="shared" si="209"/>
        <v>81192.94</v>
      </c>
      <c r="AZ199" s="373">
        <f>AZ194+AZ193+AZ190+AZ187</f>
        <v>0</v>
      </c>
      <c r="BA199" s="141">
        <f t="shared" si="210"/>
        <v>77353.2</v>
      </c>
      <c r="BB199" s="373">
        <f>BB194+BB193+BB190+BB187</f>
        <v>0</v>
      </c>
      <c r="BC199" s="373">
        <f>BC194+BC193+BC190+BC187</f>
        <v>0</v>
      </c>
      <c r="BD199" s="141">
        <f t="shared" si="211"/>
        <v>77787.27</v>
      </c>
      <c r="BE199" s="373">
        <f>BE194+BE193+BE190+BE187</f>
        <v>0</v>
      </c>
      <c r="BF199" s="141">
        <f t="shared" si="212"/>
        <v>96908.93</v>
      </c>
      <c r="BG199" s="373">
        <f>BG194+BG193+BG190+BG187</f>
        <v>0</v>
      </c>
      <c r="BH199" s="373">
        <f>BH194+BH193+BH190+BH187</f>
        <v>0</v>
      </c>
      <c r="BI199" s="373">
        <f>BI194+BI193+BI190+BI187</f>
        <v>0</v>
      </c>
      <c r="BJ199" s="141">
        <f t="shared" si="213"/>
        <v>25708.01</v>
      </c>
      <c r="BK199" s="373">
        <f>BK194+BK193+BK190+BK187</f>
        <v>0</v>
      </c>
      <c r="BL199" s="141">
        <f t="shared" si="214"/>
        <v>27763.9</v>
      </c>
      <c r="BM199" s="373">
        <f>BM194+BM193+BM190+BM187</f>
        <v>10</v>
      </c>
      <c r="BN199" s="141">
        <f t="shared" si="215"/>
        <v>23851.91</v>
      </c>
      <c r="BO199" s="373">
        <f>BO194+BO193+BO190+BO187</f>
        <v>24</v>
      </c>
      <c r="BP199" s="373">
        <f>BP194+BP193+BP190+BP187</f>
        <v>850084.84</v>
      </c>
      <c r="BQ199" s="141">
        <f t="shared" si="216"/>
        <v>42444.76</v>
      </c>
      <c r="BR199" s="373">
        <f t="shared" ref="BR199:BX199" si="220">BR194+BR193+BR190+BR187</f>
        <v>0</v>
      </c>
      <c r="BS199" s="141">
        <f t="shared" si="217"/>
        <v>46158.78</v>
      </c>
      <c r="BT199" s="373">
        <f t="shared" si="220"/>
        <v>0</v>
      </c>
      <c r="BU199" s="141">
        <f t="shared" si="218"/>
        <v>39091.67</v>
      </c>
      <c r="BV199" s="373">
        <f t="shared" si="220"/>
        <v>0</v>
      </c>
      <c r="BW199" s="373">
        <f t="shared" si="220"/>
        <v>0</v>
      </c>
      <c r="BX199" s="374">
        <f t="shared" si="220"/>
        <v>2175</v>
      </c>
      <c r="BY199" s="360"/>
      <c r="BZ199" s="107"/>
    </row>
    <row r="200" spans="1:78" s="616" customFormat="1" ht="17.45" customHeight="1">
      <c r="A200" s="1641" t="s">
        <v>542</v>
      </c>
      <c r="B200" s="1641"/>
      <c r="C200" s="1641"/>
      <c r="D200" s="612">
        <f t="shared" si="190"/>
        <v>31250.82</v>
      </c>
      <c r="E200" s="613"/>
      <c r="F200" s="612">
        <f t="shared" si="191"/>
        <v>38535.26</v>
      </c>
      <c r="G200" s="613"/>
      <c r="H200" s="612">
        <f t="shared" si="192"/>
        <v>36779.949999999997</v>
      </c>
      <c r="I200" s="613"/>
      <c r="J200" s="613"/>
      <c r="K200" s="612">
        <f t="shared" si="193"/>
        <v>35546.49</v>
      </c>
      <c r="L200" s="613"/>
      <c r="M200" s="612">
        <f t="shared" si="194"/>
        <v>43923.6</v>
      </c>
      <c r="N200" s="613"/>
      <c r="O200" s="612">
        <f t="shared" si="195"/>
        <v>41904.99</v>
      </c>
      <c r="P200" s="613"/>
      <c r="Q200" s="613"/>
      <c r="R200" s="612">
        <f t="shared" si="196"/>
        <v>41274.050000000003</v>
      </c>
      <c r="S200" s="613"/>
      <c r="T200" s="612">
        <f t="shared" si="197"/>
        <v>51108.05</v>
      </c>
      <c r="U200" s="613"/>
      <c r="V200" s="612">
        <f t="shared" si="198"/>
        <v>48738.38</v>
      </c>
      <c r="W200" s="613"/>
      <c r="X200" s="613"/>
      <c r="Y200" s="612">
        <f t="shared" si="199"/>
        <v>45569.73</v>
      </c>
      <c r="Z200" s="613"/>
      <c r="AA200" s="612">
        <f t="shared" si="200"/>
        <v>56496.39</v>
      </c>
      <c r="AB200" s="613"/>
      <c r="AC200" s="613"/>
      <c r="AD200" s="612">
        <f t="shared" si="201"/>
        <v>54161.08</v>
      </c>
      <c r="AE200" s="613"/>
      <c r="AF200" s="612">
        <f t="shared" si="202"/>
        <v>67273.070000000007</v>
      </c>
      <c r="AG200" s="613"/>
      <c r="AH200" s="612">
        <f t="shared" si="203"/>
        <v>64113.51</v>
      </c>
      <c r="AI200" s="613"/>
      <c r="AJ200" s="613"/>
      <c r="AK200" s="612">
        <f t="shared" si="204"/>
        <v>29360.82</v>
      </c>
      <c r="AL200" s="613"/>
      <c r="AM200" s="612">
        <f t="shared" si="205"/>
        <v>36645.26</v>
      </c>
      <c r="AN200" s="613"/>
      <c r="AO200" s="612">
        <f t="shared" si="206"/>
        <v>34889.949999999997</v>
      </c>
      <c r="AP200" s="613"/>
      <c r="AQ200" s="613"/>
      <c r="AR200" s="612">
        <f t="shared" si="207"/>
        <v>35718.379999999997</v>
      </c>
      <c r="AS200" s="613"/>
      <c r="AT200" s="613"/>
      <c r="AU200" s="1061"/>
      <c r="AV200" s="811">
        <f>ROUND(AV211/AU211,5)</f>
        <v>1.0271300000000001</v>
      </c>
      <c r="AW200" s="612">
        <f t="shared" si="208"/>
        <v>65258.22</v>
      </c>
      <c r="AX200" s="613"/>
      <c r="AY200" s="612">
        <f t="shared" si="209"/>
        <v>81192.94</v>
      </c>
      <c r="AZ200" s="613"/>
      <c r="BA200" s="612">
        <f t="shared" si="210"/>
        <v>77353.2</v>
      </c>
      <c r="BB200" s="613"/>
      <c r="BC200" s="613"/>
      <c r="BD200" s="612">
        <f t="shared" si="211"/>
        <v>77787.27</v>
      </c>
      <c r="BE200" s="613"/>
      <c r="BF200" s="612">
        <f t="shared" si="212"/>
        <v>96908.93</v>
      </c>
      <c r="BG200" s="613"/>
      <c r="BH200" s="613"/>
      <c r="BI200" s="613"/>
      <c r="BJ200" s="612">
        <f t="shared" si="213"/>
        <v>25708.01</v>
      </c>
      <c r="BK200" s="613"/>
      <c r="BL200" s="612">
        <f t="shared" si="214"/>
        <v>27763.9</v>
      </c>
      <c r="BM200" s="613"/>
      <c r="BN200" s="612">
        <f t="shared" si="215"/>
        <v>23851.91</v>
      </c>
      <c r="BO200" s="613"/>
      <c r="BP200" s="613"/>
      <c r="BQ200" s="612">
        <f t="shared" si="216"/>
        <v>42444.76</v>
      </c>
      <c r="BR200" s="613"/>
      <c r="BS200" s="612">
        <f t="shared" si="217"/>
        <v>46158.78</v>
      </c>
      <c r="BT200" s="613"/>
      <c r="BU200" s="612">
        <f t="shared" si="218"/>
        <v>39091.67</v>
      </c>
      <c r="BV200" s="613"/>
      <c r="BW200" s="613"/>
      <c r="BX200" s="613"/>
      <c r="BY200" s="615"/>
      <c r="BZ200" s="615"/>
    </row>
    <row r="201" spans="1:78" s="652" customFormat="1" ht="16.5">
      <c r="A201" s="660" t="s">
        <v>387</v>
      </c>
      <c r="B201" s="812" t="s">
        <v>543</v>
      </c>
      <c r="C201" s="813"/>
      <c r="D201" s="612">
        <f t="shared" si="190"/>
        <v>31250.82</v>
      </c>
      <c r="E201" s="814">
        <v>267</v>
      </c>
      <c r="F201" s="612">
        <f t="shared" si="191"/>
        <v>38535.26</v>
      </c>
      <c r="G201" s="814">
        <v>481</v>
      </c>
      <c r="H201" s="612">
        <f t="shared" si="192"/>
        <v>36779.949999999997</v>
      </c>
      <c r="I201" s="814">
        <v>87</v>
      </c>
      <c r="J201" s="620">
        <f>ROUND((D201*E201+F201*G201+H201*I201),2)</f>
        <v>30079284.649999999</v>
      </c>
      <c r="K201" s="612">
        <f t="shared" si="193"/>
        <v>35546.49</v>
      </c>
      <c r="L201" s="648"/>
      <c r="M201" s="612">
        <f t="shared" si="194"/>
        <v>43923.6</v>
      </c>
      <c r="N201" s="648"/>
      <c r="O201" s="612">
        <f t="shared" si="195"/>
        <v>41904.99</v>
      </c>
      <c r="P201" s="648"/>
      <c r="Q201" s="620">
        <f>ROUND((K201*L201+M201*N201+O201*P201),2)</f>
        <v>0</v>
      </c>
      <c r="R201" s="612">
        <f t="shared" si="196"/>
        <v>41274.050000000003</v>
      </c>
      <c r="S201" s="647"/>
      <c r="T201" s="612">
        <f t="shared" si="197"/>
        <v>51108.05</v>
      </c>
      <c r="U201" s="647"/>
      <c r="V201" s="612">
        <f t="shared" si="198"/>
        <v>48738.38</v>
      </c>
      <c r="W201" s="657"/>
      <c r="X201" s="620">
        <f>ROUND((R201*S201+T201*U201+V201*W201),2)</f>
        <v>0</v>
      </c>
      <c r="Y201" s="612">
        <f t="shared" si="199"/>
        <v>45569.73</v>
      </c>
      <c r="Z201" s="814"/>
      <c r="AA201" s="612">
        <f t="shared" si="200"/>
        <v>56496.39</v>
      </c>
      <c r="AB201" s="814"/>
      <c r="AC201" s="620">
        <f>ROUND((Y201*Z201+AA201*AB201),2)</f>
        <v>0</v>
      </c>
      <c r="AD201" s="612">
        <f t="shared" si="201"/>
        <v>54161.08</v>
      </c>
      <c r="AE201" s="814"/>
      <c r="AF201" s="612">
        <f t="shared" si="202"/>
        <v>67273.070000000007</v>
      </c>
      <c r="AG201" s="814"/>
      <c r="AH201" s="612">
        <f t="shared" si="203"/>
        <v>64113.51</v>
      </c>
      <c r="AI201" s="648"/>
      <c r="AJ201" s="620">
        <f>ROUND((AD201*AE201+AF201*AG201+AH201*AI201),2)</f>
        <v>0</v>
      </c>
      <c r="AK201" s="612">
        <f t="shared" si="204"/>
        <v>29360.82</v>
      </c>
      <c r="AL201" s="648"/>
      <c r="AM201" s="612">
        <f t="shared" si="205"/>
        <v>36645.26</v>
      </c>
      <c r="AN201" s="648"/>
      <c r="AO201" s="612">
        <f t="shared" si="206"/>
        <v>34889.949999999997</v>
      </c>
      <c r="AP201" s="648"/>
      <c r="AQ201" s="620">
        <f>ROUND((AK201*AL201+AM201*AN201+AO201*AP201),2)</f>
        <v>0</v>
      </c>
      <c r="AR201" s="612">
        <f t="shared" si="207"/>
        <v>35718.379999999997</v>
      </c>
      <c r="AS201" s="814"/>
      <c r="AT201" s="620">
        <f>ROUND((AR201*AS201),2)</f>
        <v>0</v>
      </c>
      <c r="AU201" s="622">
        <f>AT201+AQ201+AJ201+AC201+X201+Q201+J201</f>
        <v>30079284.649999999</v>
      </c>
      <c r="AV201" s="658"/>
      <c r="AW201" s="612">
        <f t="shared" si="208"/>
        <v>65258.22</v>
      </c>
      <c r="AX201" s="661"/>
      <c r="AY201" s="612">
        <f t="shared" si="209"/>
        <v>81192.94</v>
      </c>
      <c r="AZ201" s="661"/>
      <c r="BA201" s="612">
        <f t="shared" si="210"/>
        <v>77353.2</v>
      </c>
      <c r="BB201" s="661"/>
      <c r="BC201" s="620">
        <f>ROUND((AW201*AX201+AY201*AZ201+BA201*BB201),2)</f>
        <v>0</v>
      </c>
      <c r="BD201" s="612">
        <f t="shared" si="211"/>
        <v>77787.27</v>
      </c>
      <c r="BE201" s="647"/>
      <c r="BF201" s="612">
        <f t="shared" si="212"/>
        <v>96908.93</v>
      </c>
      <c r="BG201" s="647"/>
      <c r="BH201" s="620">
        <f>ROUND((BD201*BE201+BF201*BG201),2)</f>
        <v>0</v>
      </c>
      <c r="BI201" s="623">
        <f>BH201+BC201</f>
        <v>0</v>
      </c>
      <c r="BJ201" s="612">
        <f t="shared" si="213"/>
        <v>25708.01</v>
      </c>
      <c r="BK201" s="647"/>
      <c r="BL201" s="612">
        <f t="shared" si="214"/>
        <v>27763.9</v>
      </c>
      <c r="BM201" s="647"/>
      <c r="BN201" s="612">
        <f t="shared" si="215"/>
        <v>23851.91</v>
      </c>
      <c r="BO201" s="647"/>
      <c r="BP201" s="620">
        <f>ROUND((BJ201*BK201+BL201*BM201+BN201*BO201),2)</f>
        <v>0</v>
      </c>
      <c r="BQ201" s="612">
        <f t="shared" si="216"/>
        <v>42444.76</v>
      </c>
      <c r="BR201" s="657"/>
      <c r="BS201" s="612">
        <f t="shared" si="217"/>
        <v>46158.78</v>
      </c>
      <c r="BT201" s="657"/>
      <c r="BU201" s="612">
        <f t="shared" si="218"/>
        <v>39091.67</v>
      </c>
      <c r="BV201" s="657"/>
      <c r="BW201" s="620">
        <f>ROUND((BQ201*BR201+BS201*BT201+BU201*BV201),2)</f>
        <v>0</v>
      </c>
      <c r="BX201" s="815">
        <f t="shared" ref="BX201:BX210" si="221">BV201+BT201+BR201+BO201+BM201+BK201+BG201+BE201+BB201+AZ201+AX201+AS201+AP201+AN201+AL201+AI201+AG201+AE201+AB201+Z201+W201+U201+S201+P201+N201+L201+I201+G201+E201</f>
        <v>835</v>
      </c>
      <c r="BY201" s="651"/>
      <c r="BZ201" s="651"/>
    </row>
    <row r="202" spans="1:78" s="652" customFormat="1" ht="66">
      <c r="A202" s="653"/>
      <c r="B202" s="816" t="s">
        <v>544</v>
      </c>
      <c r="C202" s="817"/>
      <c r="D202" s="612">
        <f t="shared" si="190"/>
        <v>31250.82</v>
      </c>
      <c r="E202" s="814">
        <v>90</v>
      </c>
      <c r="F202" s="612">
        <f t="shared" si="191"/>
        <v>38535.26</v>
      </c>
      <c r="G202" s="814"/>
      <c r="H202" s="612">
        <f t="shared" si="192"/>
        <v>36779.949999999997</v>
      </c>
      <c r="I202" s="814"/>
      <c r="J202" s="620">
        <f>ROUND((D202*E202+F202*G202+H202*I202),2)</f>
        <v>2812573.8</v>
      </c>
      <c r="K202" s="612">
        <f t="shared" si="193"/>
        <v>35546.49</v>
      </c>
      <c r="L202" s="648"/>
      <c r="M202" s="612">
        <f t="shared" si="194"/>
        <v>43923.6</v>
      </c>
      <c r="N202" s="648"/>
      <c r="O202" s="612">
        <f t="shared" si="195"/>
        <v>41904.99</v>
      </c>
      <c r="P202" s="648"/>
      <c r="Q202" s="620">
        <f>ROUND((K202*L202+M202*N202+O202*P202),2)</f>
        <v>0</v>
      </c>
      <c r="R202" s="612">
        <f t="shared" si="196"/>
        <v>41274.050000000003</v>
      </c>
      <c r="S202" s="647"/>
      <c r="T202" s="612">
        <f t="shared" si="197"/>
        <v>51108.05</v>
      </c>
      <c r="U202" s="647"/>
      <c r="V202" s="612">
        <f t="shared" si="198"/>
        <v>48738.38</v>
      </c>
      <c r="W202" s="657"/>
      <c r="X202" s="620">
        <f>ROUND((R202*S202+T202*U202+V202*W202),2)</f>
        <v>0</v>
      </c>
      <c r="Y202" s="612">
        <f t="shared" si="199"/>
        <v>45569.73</v>
      </c>
      <c r="Z202" s="814"/>
      <c r="AA202" s="612">
        <f t="shared" si="200"/>
        <v>56496.39</v>
      </c>
      <c r="AB202" s="814"/>
      <c r="AC202" s="620">
        <f>ROUND((Y202*Z202+AA202*AB202),2)</f>
        <v>0</v>
      </c>
      <c r="AD202" s="612">
        <f t="shared" si="201"/>
        <v>54161.08</v>
      </c>
      <c r="AE202" s="814"/>
      <c r="AF202" s="612">
        <f t="shared" si="202"/>
        <v>67273.070000000007</v>
      </c>
      <c r="AG202" s="814"/>
      <c r="AH202" s="612">
        <f t="shared" si="203"/>
        <v>64113.51</v>
      </c>
      <c r="AI202" s="648"/>
      <c r="AJ202" s="620">
        <f>ROUND((AD202*AE202+AF202*AG202+AH202*AI202),2)</f>
        <v>0</v>
      </c>
      <c r="AK202" s="612">
        <f t="shared" si="204"/>
        <v>29360.82</v>
      </c>
      <c r="AL202" s="648"/>
      <c r="AM202" s="612">
        <f t="shared" si="205"/>
        <v>36645.26</v>
      </c>
      <c r="AN202" s="648"/>
      <c r="AO202" s="612">
        <f t="shared" si="206"/>
        <v>34889.949999999997</v>
      </c>
      <c r="AP202" s="648"/>
      <c r="AQ202" s="620">
        <f>ROUND((AK202*AL202+AM202*AN202+AO202*AP202),2)</f>
        <v>0</v>
      </c>
      <c r="AR202" s="612">
        <f t="shared" si="207"/>
        <v>35718.379999999997</v>
      </c>
      <c r="AS202" s="814">
        <v>195</v>
      </c>
      <c r="AT202" s="620">
        <f>ROUND((AR202*AS202),2)</f>
        <v>6965084.0999999996</v>
      </c>
      <c r="AU202" s="633">
        <f>AT202+AQ202+AJ202+AC202+X202+Q202+J202</f>
        <v>9777657.8999999985</v>
      </c>
      <c r="AV202" s="658"/>
      <c r="AW202" s="612">
        <f t="shared" si="208"/>
        <v>65258.22</v>
      </c>
      <c r="AX202" s="661"/>
      <c r="AY202" s="612">
        <f t="shared" si="209"/>
        <v>81192.94</v>
      </c>
      <c r="AZ202" s="661"/>
      <c r="BA202" s="612">
        <f t="shared" si="210"/>
        <v>77353.2</v>
      </c>
      <c r="BB202" s="661"/>
      <c r="BC202" s="620">
        <f>ROUND((AW202*AX202+AY202*AZ202+BA202*BB202),2)</f>
        <v>0</v>
      </c>
      <c r="BD202" s="612">
        <f t="shared" si="211"/>
        <v>77787.27</v>
      </c>
      <c r="BE202" s="647"/>
      <c r="BF202" s="612">
        <f t="shared" si="212"/>
        <v>96908.93</v>
      </c>
      <c r="BG202" s="647"/>
      <c r="BH202" s="620">
        <f>ROUND((BD202*BE202+BF202*BG202),2)</f>
        <v>0</v>
      </c>
      <c r="BI202" s="623">
        <f>BH202+BC202</f>
        <v>0</v>
      </c>
      <c r="BJ202" s="612">
        <f t="shared" si="213"/>
        <v>25708.01</v>
      </c>
      <c r="BK202" s="647"/>
      <c r="BL202" s="612">
        <f t="shared" si="214"/>
        <v>27763.9</v>
      </c>
      <c r="BM202" s="647"/>
      <c r="BN202" s="612">
        <f t="shared" si="215"/>
        <v>23851.91</v>
      </c>
      <c r="BO202" s="647"/>
      <c r="BP202" s="620">
        <f>ROUND((BJ202*BK202+BL202*BM202+BN202*BO202),2)</f>
        <v>0</v>
      </c>
      <c r="BQ202" s="612">
        <f t="shared" si="216"/>
        <v>42444.76</v>
      </c>
      <c r="BR202" s="657"/>
      <c r="BS202" s="612">
        <f t="shared" si="217"/>
        <v>46158.78</v>
      </c>
      <c r="BT202" s="657"/>
      <c r="BU202" s="612">
        <f t="shared" si="218"/>
        <v>39091.67</v>
      </c>
      <c r="BV202" s="657"/>
      <c r="BW202" s="620">
        <f>ROUND((BQ202*BR202+BS202*BT202+BU202*BV202),2)</f>
        <v>0</v>
      </c>
      <c r="BX202" s="815">
        <f>E202+AS202</f>
        <v>285</v>
      </c>
      <c r="BY202" s="651"/>
      <c r="BZ202" s="651"/>
    </row>
    <row r="203" spans="1:78" s="668" customFormat="1" ht="16.5">
      <c r="A203" s="818"/>
      <c r="B203" s="819" t="s">
        <v>545</v>
      </c>
      <c r="C203" s="820"/>
      <c r="D203" s="612">
        <f t="shared" si="190"/>
        <v>31250.82</v>
      </c>
      <c r="E203" s="821">
        <f>SUM(E201:E202)</f>
        <v>357</v>
      </c>
      <c r="F203" s="612">
        <f t="shared" si="191"/>
        <v>38535.26</v>
      </c>
      <c r="G203" s="821">
        <f>SUM(G201:G202)</f>
        <v>481</v>
      </c>
      <c r="H203" s="612">
        <f t="shared" si="192"/>
        <v>36779.949999999997</v>
      </c>
      <c r="I203" s="821">
        <f>SUM(I201:I202)</f>
        <v>87</v>
      </c>
      <c r="J203" s="821">
        <f>SUM(J201:J202)</f>
        <v>32891858.449999999</v>
      </c>
      <c r="K203" s="612">
        <f t="shared" si="193"/>
        <v>35546.49</v>
      </c>
      <c r="L203" s="821">
        <f>SUM(L201:L202)</f>
        <v>0</v>
      </c>
      <c r="M203" s="612">
        <f t="shared" si="194"/>
        <v>43923.6</v>
      </c>
      <c r="N203" s="821">
        <f>SUM(N201:N202)</f>
        <v>0</v>
      </c>
      <c r="O203" s="612">
        <f t="shared" si="195"/>
        <v>41904.99</v>
      </c>
      <c r="P203" s="821">
        <f>SUM(P201:P202)</f>
        <v>0</v>
      </c>
      <c r="Q203" s="821">
        <f>SUM(Q201:Q202)</f>
        <v>0</v>
      </c>
      <c r="R203" s="612">
        <f t="shared" si="196"/>
        <v>41274.050000000003</v>
      </c>
      <c r="S203" s="821">
        <f>SUM(S201:S202)</f>
        <v>0</v>
      </c>
      <c r="T203" s="612">
        <f t="shared" si="197"/>
        <v>51108.05</v>
      </c>
      <c r="U203" s="821">
        <f>SUM(U201:U202)</f>
        <v>0</v>
      </c>
      <c r="V203" s="612">
        <f t="shared" si="198"/>
        <v>48738.38</v>
      </c>
      <c r="W203" s="821">
        <f>SUM(W201:W202)</f>
        <v>0</v>
      </c>
      <c r="X203" s="821">
        <f>SUM(X201:X202)</f>
        <v>0</v>
      </c>
      <c r="Y203" s="612">
        <f t="shared" si="199"/>
        <v>45569.73</v>
      </c>
      <c r="Z203" s="821">
        <f>SUM(Z201:Z202)</f>
        <v>0</v>
      </c>
      <c r="AA203" s="612">
        <f t="shared" si="200"/>
        <v>56496.39</v>
      </c>
      <c r="AB203" s="821">
        <f>SUM(AB201:AB202)</f>
        <v>0</v>
      </c>
      <c r="AC203" s="821">
        <f>SUM(AC201:AC202)</f>
        <v>0</v>
      </c>
      <c r="AD203" s="612">
        <f t="shared" si="201"/>
        <v>54161.08</v>
      </c>
      <c r="AE203" s="821">
        <f>SUM(AE201:AE202)</f>
        <v>0</v>
      </c>
      <c r="AF203" s="612">
        <f t="shared" si="202"/>
        <v>67273.070000000007</v>
      </c>
      <c r="AG203" s="821">
        <f>SUM(AG201:AG202)</f>
        <v>0</v>
      </c>
      <c r="AH203" s="612">
        <f t="shared" si="203"/>
        <v>64113.51</v>
      </c>
      <c r="AI203" s="821">
        <f>SUM(AI201:AI202)</f>
        <v>0</v>
      </c>
      <c r="AJ203" s="821">
        <f>SUM(AJ201:AJ202)</f>
        <v>0</v>
      </c>
      <c r="AK203" s="612">
        <f t="shared" si="204"/>
        <v>29360.82</v>
      </c>
      <c r="AL203" s="821">
        <f>SUM(AL201:AL202)</f>
        <v>0</v>
      </c>
      <c r="AM203" s="612">
        <f t="shared" si="205"/>
        <v>36645.26</v>
      </c>
      <c r="AN203" s="821">
        <f>SUM(AN201:AN202)</f>
        <v>0</v>
      </c>
      <c r="AO203" s="612">
        <f t="shared" si="206"/>
        <v>34889.949999999997</v>
      </c>
      <c r="AP203" s="821">
        <f>SUM(AP201:AP202)</f>
        <v>0</v>
      </c>
      <c r="AQ203" s="821">
        <f>SUM(AQ201:AQ202)</f>
        <v>0</v>
      </c>
      <c r="AR203" s="612">
        <f t="shared" si="207"/>
        <v>35718.379999999997</v>
      </c>
      <c r="AS203" s="821">
        <f>SUM(AS201:AS202)</f>
        <v>195</v>
      </c>
      <c r="AT203" s="821">
        <f>SUM(AT201:AT202)</f>
        <v>6965084.0999999996</v>
      </c>
      <c r="AU203" s="1075">
        <f>SUM(AU201:AU202)</f>
        <v>39856942.549999997</v>
      </c>
      <c r="AV203" s="822">
        <f>'старое не смотреть'!D346</f>
        <v>41465274.57</v>
      </c>
      <c r="AW203" s="612">
        <f t="shared" si="208"/>
        <v>65258.22</v>
      </c>
      <c r="AX203" s="821">
        <f>SUM(AX201:AX202)</f>
        <v>0</v>
      </c>
      <c r="AY203" s="612">
        <f t="shared" si="209"/>
        <v>81192.94</v>
      </c>
      <c r="AZ203" s="821">
        <f>SUM(AZ201:AZ202)</f>
        <v>0</v>
      </c>
      <c r="BA203" s="612">
        <f t="shared" si="210"/>
        <v>77353.2</v>
      </c>
      <c r="BB203" s="821">
        <f>SUM(BB201:BB202)</f>
        <v>0</v>
      </c>
      <c r="BC203" s="821">
        <f>SUM(BC201:BC202)</f>
        <v>0</v>
      </c>
      <c r="BD203" s="612">
        <f t="shared" si="211"/>
        <v>77787.27</v>
      </c>
      <c r="BE203" s="821">
        <f>SUM(BE201:BE202)</f>
        <v>0</v>
      </c>
      <c r="BF203" s="612">
        <f t="shared" si="212"/>
        <v>96908.93</v>
      </c>
      <c r="BG203" s="821">
        <f>SUM(BG201:BG202)</f>
        <v>0</v>
      </c>
      <c r="BH203" s="821">
        <f>SUM(BH201:BH202)</f>
        <v>0</v>
      </c>
      <c r="BI203" s="821">
        <f>SUM(BI201:BI202)</f>
        <v>0</v>
      </c>
      <c r="BJ203" s="612">
        <f t="shared" si="213"/>
        <v>25708.01</v>
      </c>
      <c r="BK203" s="821">
        <f>SUM(BK201:BK202)</f>
        <v>0</v>
      </c>
      <c r="BL203" s="612">
        <f t="shared" si="214"/>
        <v>27763.9</v>
      </c>
      <c r="BM203" s="821">
        <f>SUM(BM201:BM202)</f>
        <v>0</v>
      </c>
      <c r="BN203" s="612">
        <f t="shared" si="215"/>
        <v>23851.91</v>
      </c>
      <c r="BO203" s="821">
        <f>SUM(BO201:BO202)</f>
        <v>0</v>
      </c>
      <c r="BP203" s="821">
        <f>SUM(BP201:BP202)</f>
        <v>0</v>
      </c>
      <c r="BQ203" s="612">
        <f t="shared" si="216"/>
        <v>42444.76</v>
      </c>
      <c r="BR203" s="821">
        <f t="shared" ref="BR203:BX203" si="222">SUM(BR201:BR202)</f>
        <v>0</v>
      </c>
      <c r="BS203" s="612">
        <f t="shared" si="217"/>
        <v>46158.78</v>
      </c>
      <c r="BT203" s="821">
        <f t="shared" si="222"/>
        <v>0</v>
      </c>
      <c r="BU203" s="612">
        <f t="shared" si="218"/>
        <v>39091.67</v>
      </c>
      <c r="BV203" s="821">
        <f t="shared" si="222"/>
        <v>0</v>
      </c>
      <c r="BW203" s="821">
        <f t="shared" si="222"/>
        <v>0</v>
      </c>
      <c r="BX203" s="823">
        <f t="shared" si="222"/>
        <v>1120</v>
      </c>
      <c r="BY203" s="667"/>
      <c r="BZ203" s="667"/>
    </row>
    <row r="204" spans="1:78" s="644" customFormat="1" ht="16.5">
      <c r="A204" s="638" t="s">
        <v>389</v>
      </c>
      <c r="B204" s="824" t="s">
        <v>546</v>
      </c>
      <c r="C204" s="825" t="s">
        <v>390</v>
      </c>
      <c r="D204" s="612">
        <f t="shared" si="190"/>
        <v>31250.82</v>
      </c>
      <c r="E204" s="821">
        <v>220</v>
      </c>
      <c r="F204" s="612">
        <f t="shared" si="191"/>
        <v>38535.26</v>
      </c>
      <c r="G204" s="821">
        <v>245</v>
      </c>
      <c r="H204" s="612">
        <f t="shared" si="192"/>
        <v>36779.949999999997</v>
      </c>
      <c r="I204" s="821">
        <v>54</v>
      </c>
      <c r="J204" s="620">
        <f>ROUND((D204*E204+F204*G204+H204*I204),2)</f>
        <v>18302436.399999999</v>
      </c>
      <c r="K204" s="612">
        <f t="shared" si="193"/>
        <v>35546.49</v>
      </c>
      <c r="L204" s="826"/>
      <c r="M204" s="612">
        <f t="shared" si="194"/>
        <v>43923.6</v>
      </c>
      <c r="N204" s="826"/>
      <c r="O204" s="612">
        <f t="shared" si="195"/>
        <v>41904.99</v>
      </c>
      <c r="P204" s="826"/>
      <c r="Q204" s="620">
        <f>ROUND((K204*L204+M204*N204+O204*P204),2)</f>
        <v>0</v>
      </c>
      <c r="R204" s="612">
        <f t="shared" si="196"/>
        <v>41274.050000000003</v>
      </c>
      <c r="S204" s="826"/>
      <c r="T204" s="612">
        <f t="shared" si="197"/>
        <v>51108.05</v>
      </c>
      <c r="U204" s="826"/>
      <c r="V204" s="612">
        <f t="shared" si="198"/>
        <v>48738.38</v>
      </c>
      <c r="W204" s="826"/>
      <c r="X204" s="620">
        <f>ROUND((R204*S204+T204*U204+V204*W204),2)</f>
        <v>0</v>
      </c>
      <c r="Y204" s="612">
        <f t="shared" si="199"/>
        <v>45569.73</v>
      </c>
      <c r="Z204" s="821"/>
      <c r="AA204" s="612">
        <f t="shared" si="200"/>
        <v>56496.39</v>
      </c>
      <c r="AB204" s="821"/>
      <c r="AC204" s="620">
        <f>ROUND((Y204*Z204+AA204*AB204),2)</f>
        <v>0</v>
      </c>
      <c r="AD204" s="612">
        <f t="shared" si="201"/>
        <v>54161.08</v>
      </c>
      <c r="AE204" s="821"/>
      <c r="AF204" s="612">
        <f t="shared" si="202"/>
        <v>67273.070000000007</v>
      </c>
      <c r="AG204" s="821"/>
      <c r="AH204" s="612">
        <f t="shared" si="203"/>
        <v>64113.51</v>
      </c>
      <c r="AI204" s="827"/>
      <c r="AJ204" s="620">
        <f>ROUND((AD204*AE204+AF204*AG204+AH204*AI204),2)</f>
        <v>0</v>
      </c>
      <c r="AK204" s="612">
        <f t="shared" si="204"/>
        <v>29360.82</v>
      </c>
      <c r="AL204" s="827"/>
      <c r="AM204" s="612">
        <f t="shared" si="205"/>
        <v>36645.26</v>
      </c>
      <c r="AN204" s="827"/>
      <c r="AO204" s="612">
        <f t="shared" si="206"/>
        <v>34889.949999999997</v>
      </c>
      <c r="AP204" s="827"/>
      <c r="AQ204" s="620">
        <f>ROUND((AK204*AL204+AM204*AN204+AO204*AP204),2)</f>
        <v>0</v>
      </c>
      <c r="AR204" s="612">
        <f t="shared" si="207"/>
        <v>35718.379999999997</v>
      </c>
      <c r="AS204" s="821"/>
      <c r="AT204" s="620">
        <f>ROUND((AR204*AS204),2)</f>
        <v>0</v>
      </c>
      <c r="AU204" s="622">
        <f>AT204+AQ204+AJ204+AC204+X204+Q204+J204</f>
        <v>18302436.399999999</v>
      </c>
      <c r="AV204" s="828">
        <f>AU204</f>
        <v>18302436.399999999</v>
      </c>
      <c r="AW204" s="612">
        <f t="shared" si="208"/>
        <v>65258.22</v>
      </c>
      <c r="AX204" s="827"/>
      <c r="AY204" s="612">
        <f t="shared" si="209"/>
        <v>81192.94</v>
      </c>
      <c r="AZ204" s="827"/>
      <c r="BA204" s="612">
        <f t="shared" si="210"/>
        <v>77353.2</v>
      </c>
      <c r="BB204" s="827"/>
      <c r="BC204" s="620">
        <f>ROUND((AW204*AX204+AY204*AZ204+BA204*BB204),2)</f>
        <v>0</v>
      </c>
      <c r="BD204" s="612">
        <f t="shared" si="211"/>
        <v>77787.27</v>
      </c>
      <c r="BE204" s="826"/>
      <c r="BF204" s="612">
        <f t="shared" si="212"/>
        <v>96908.93</v>
      </c>
      <c r="BG204" s="826"/>
      <c r="BH204" s="620">
        <f>ROUND((BD204*BE204+BF204*BG204),2)</f>
        <v>0</v>
      </c>
      <c r="BI204" s="623">
        <f>BH204+BC204</f>
        <v>0</v>
      </c>
      <c r="BJ204" s="612">
        <f t="shared" si="213"/>
        <v>25708.01</v>
      </c>
      <c r="BK204" s="826"/>
      <c r="BL204" s="612">
        <f t="shared" si="214"/>
        <v>27763.9</v>
      </c>
      <c r="BM204" s="826"/>
      <c r="BN204" s="612">
        <f t="shared" si="215"/>
        <v>23851.91</v>
      </c>
      <c r="BO204" s="826"/>
      <c r="BP204" s="620">
        <f>ROUND((BJ204*BK204+BL204*BM204+BN204*BO204),2)</f>
        <v>0</v>
      </c>
      <c r="BQ204" s="612">
        <f t="shared" si="216"/>
        <v>42444.76</v>
      </c>
      <c r="BR204" s="826"/>
      <c r="BS204" s="612">
        <f t="shared" si="217"/>
        <v>46158.78</v>
      </c>
      <c r="BT204" s="826"/>
      <c r="BU204" s="612">
        <f t="shared" si="218"/>
        <v>39091.67</v>
      </c>
      <c r="BV204" s="826"/>
      <c r="BW204" s="620">
        <f>ROUND((BQ204*BR204+BS204*BT204+BU204*BV204),2)</f>
        <v>0</v>
      </c>
      <c r="BX204" s="829">
        <f t="shared" si="221"/>
        <v>519</v>
      </c>
      <c r="BY204" s="643"/>
      <c r="BZ204" s="643"/>
    </row>
    <row r="205" spans="1:78" s="644" customFormat="1" ht="16.5">
      <c r="A205" s="830">
        <v>3</v>
      </c>
      <c r="B205" s="819" t="s">
        <v>547</v>
      </c>
      <c r="C205" s="831"/>
      <c r="D205" s="612">
        <f t="shared" si="190"/>
        <v>31250.82</v>
      </c>
      <c r="E205" s="821">
        <v>210</v>
      </c>
      <c r="F205" s="612">
        <f t="shared" si="191"/>
        <v>38535.26</v>
      </c>
      <c r="G205" s="821">
        <v>256</v>
      </c>
      <c r="H205" s="612">
        <f t="shared" si="192"/>
        <v>36779.949999999997</v>
      </c>
      <c r="I205" s="821">
        <v>55</v>
      </c>
      <c r="J205" s="620">
        <f>ROUND((D205*E205+F205*G205+H205*I205),2)</f>
        <v>18450596.010000002</v>
      </c>
      <c r="K205" s="612">
        <f t="shared" si="193"/>
        <v>35546.49</v>
      </c>
      <c r="L205" s="826"/>
      <c r="M205" s="612">
        <f t="shared" si="194"/>
        <v>43923.6</v>
      </c>
      <c r="N205" s="826"/>
      <c r="O205" s="612">
        <f t="shared" si="195"/>
        <v>41904.99</v>
      </c>
      <c r="P205" s="826"/>
      <c r="Q205" s="620">
        <f>ROUND((K205*L205+M205*N205+O205*P205),2)</f>
        <v>0</v>
      </c>
      <c r="R205" s="612">
        <f t="shared" si="196"/>
        <v>41274.050000000003</v>
      </c>
      <c r="S205" s="826"/>
      <c r="T205" s="612">
        <f t="shared" si="197"/>
        <v>51108.05</v>
      </c>
      <c r="U205" s="826"/>
      <c r="V205" s="612">
        <f t="shared" si="198"/>
        <v>48738.38</v>
      </c>
      <c r="W205" s="826"/>
      <c r="X205" s="620">
        <f>ROUND((R205*S205+T205*U205+V205*W205),2)</f>
        <v>0</v>
      </c>
      <c r="Y205" s="612">
        <f t="shared" si="199"/>
        <v>45569.73</v>
      </c>
      <c r="Z205" s="821"/>
      <c r="AA205" s="612">
        <f t="shared" si="200"/>
        <v>56496.39</v>
      </c>
      <c r="AB205" s="821"/>
      <c r="AC205" s="620">
        <f>ROUND((Y205*Z205+AA205*AB205),2)</f>
        <v>0</v>
      </c>
      <c r="AD205" s="612">
        <f t="shared" si="201"/>
        <v>54161.08</v>
      </c>
      <c r="AE205" s="821"/>
      <c r="AF205" s="612">
        <f t="shared" si="202"/>
        <v>67273.070000000007</v>
      </c>
      <c r="AG205" s="821"/>
      <c r="AH205" s="612">
        <f t="shared" si="203"/>
        <v>64113.51</v>
      </c>
      <c r="AI205" s="827"/>
      <c r="AJ205" s="620">
        <f>ROUND((AD205*AE205+AF205*AG205+AH205*AI205),2)</f>
        <v>0</v>
      </c>
      <c r="AK205" s="612">
        <f t="shared" si="204"/>
        <v>29360.82</v>
      </c>
      <c r="AL205" s="827"/>
      <c r="AM205" s="612">
        <f t="shared" si="205"/>
        <v>36645.26</v>
      </c>
      <c r="AN205" s="827"/>
      <c r="AO205" s="612">
        <f t="shared" si="206"/>
        <v>34889.949999999997</v>
      </c>
      <c r="AP205" s="827"/>
      <c r="AQ205" s="620">
        <f>ROUND((AK205*AL205+AM205*AN205+AO205*AP205),2)</f>
        <v>0</v>
      </c>
      <c r="AR205" s="612">
        <f t="shared" si="207"/>
        <v>35718.379999999997</v>
      </c>
      <c r="AS205" s="821"/>
      <c r="AT205" s="620">
        <f>ROUND((AR205*AS205),2)</f>
        <v>0</v>
      </c>
      <c r="AU205" s="633">
        <f>AT205+AQ205+AJ205+AC205+X205+Q205+J205</f>
        <v>18450596.010000002</v>
      </c>
      <c r="AV205" s="828">
        <f>AU205</f>
        <v>18450596.010000002</v>
      </c>
      <c r="AW205" s="612">
        <f t="shared" si="208"/>
        <v>65258.22</v>
      </c>
      <c r="AX205" s="827"/>
      <c r="AY205" s="612">
        <f t="shared" si="209"/>
        <v>81192.94</v>
      </c>
      <c r="AZ205" s="827"/>
      <c r="BA205" s="612">
        <f t="shared" si="210"/>
        <v>77353.2</v>
      </c>
      <c r="BB205" s="827"/>
      <c r="BC205" s="620">
        <f>ROUND((AW205*AX205+AY205*AZ205+BA205*BB205),2)</f>
        <v>0</v>
      </c>
      <c r="BD205" s="612">
        <f t="shared" si="211"/>
        <v>77787.27</v>
      </c>
      <c r="BE205" s="826"/>
      <c r="BF205" s="612">
        <f t="shared" si="212"/>
        <v>96908.93</v>
      </c>
      <c r="BG205" s="826"/>
      <c r="BH205" s="620">
        <f>ROUND((BD205*BE205+BF205*BG205),2)</f>
        <v>0</v>
      </c>
      <c r="BI205" s="623">
        <f>BH205+BC205</f>
        <v>0</v>
      </c>
      <c r="BJ205" s="612">
        <f t="shared" si="213"/>
        <v>25708.01</v>
      </c>
      <c r="BK205" s="826"/>
      <c r="BL205" s="612">
        <f t="shared" si="214"/>
        <v>27763.9</v>
      </c>
      <c r="BM205" s="826"/>
      <c r="BN205" s="612">
        <f t="shared" si="215"/>
        <v>23851.91</v>
      </c>
      <c r="BO205" s="826"/>
      <c r="BP205" s="620">
        <f>ROUND((BJ205*BK205+BL205*BM205+BN205*BO205),2)</f>
        <v>0</v>
      </c>
      <c r="BQ205" s="612">
        <f t="shared" si="216"/>
        <v>42444.76</v>
      </c>
      <c r="BR205" s="826"/>
      <c r="BS205" s="612">
        <f t="shared" si="217"/>
        <v>46158.78</v>
      </c>
      <c r="BT205" s="826"/>
      <c r="BU205" s="612">
        <f t="shared" si="218"/>
        <v>39091.67</v>
      </c>
      <c r="BV205" s="826"/>
      <c r="BW205" s="620">
        <f>ROUND((BQ205*BR205+BS205*BT205+BU205*BV205),2)</f>
        <v>0</v>
      </c>
      <c r="BX205" s="829">
        <f t="shared" si="221"/>
        <v>521</v>
      </c>
      <c r="BY205" s="643"/>
      <c r="BZ205" s="643"/>
    </row>
    <row r="206" spans="1:78" s="637" customFormat="1" ht="16.5">
      <c r="A206" s="832">
        <v>4</v>
      </c>
      <c r="B206" s="833" t="s">
        <v>548</v>
      </c>
      <c r="C206" s="834"/>
      <c r="D206" s="612">
        <f t="shared" si="190"/>
        <v>31250.82</v>
      </c>
      <c r="E206" s="835">
        <v>272</v>
      </c>
      <c r="F206" s="612">
        <f t="shared" si="191"/>
        <v>38535.26</v>
      </c>
      <c r="G206" s="835">
        <v>321</v>
      </c>
      <c r="H206" s="612">
        <f t="shared" si="192"/>
        <v>36779.949999999997</v>
      </c>
      <c r="I206" s="835">
        <v>56</v>
      </c>
      <c r="J206" s="620">
        <f>ROUND((D206*E206+F206*G206+H206*I206),2)</f>
        <v>22929718.699999999</v>
      </c>
      <c r="K206" s="612">
        <f t="shared" si="193"/>
        <v>35546.49</v>
      </c>
      <c r="L206" s="631"/>
      <c r="M206" s="612">
        <f t="shared" si="194"/>
        <v>43923.6</v>
      </c>
      <c r="N206" s="631"/>
      <c r="O206" s="612">
        <f t="shared" si="195"/>
        <v>41904.99</v>
      </c>
      <c r="P206" s="631"/>
      <c r="Q206" s="620">
        <f>ROUND((K206*L206+M206*N206+O206*P206),2)</f>
        <v>0</v>
      </c>
      <c r="R206" s="612">
        <f t="shared" si="196"/>
        <v>41274.050000000003</v>
      </c>
      <c r="S206" s="631"/>
      <c r="T206" s="612">
        <f t="shared" si="197"/>
        <v>51108.05</v>
      </c>
      <c r="U206" s="631"/>
      <c r="V206" s="612">
        <f t="shared" si="198"/>
        <v>48738.38</v>
      </c>
      <c r="W206" s="631"/>
      <c r="X206" s="620">
        <f>ROUND((R206*S206+T206*U206+V206*W206),2)</f>
        <v>0</v>
      </c>
      <c r="Y206" s="612">
        <f t="shared" si="199"/>
        <v>45569.73</v>
      </c>
      <c r="Z206" s="835"/>
      <c r="AA206" s="612">
        <f t="shared" si="200"/>
        <v>56496.39</v>
      </c>
      <c r="AB206" s="835"/>
      <c r="AC206" s="620">
        <f>ROUND((Y206*Z206+AA206*AB206),2)</f>
        <v>0</v>
      </c>
      <c r="AD206" s="612">
        <f t="shared" si="201"/>
        <v>54161.08</v>
      </c>
      <c r="AE206" s="835"/>
      <c r="AF206" s="612">
        <f t="shared" si="202"/>
        <v>67273.070000000007</v>
      </c>
      <c r="AG206" s="835"/>
      <c r="AH206" s="612">
        <f t="shared" si="203"/>
        <v>64113.51</v>
      </c>
      <c r="AI206" s="632"/>
      <c r="AJ206" s="620">
        <f>ROUND((AD206*AE206+AF206*AG206+AH206*AI206),2)</f>
        <v>0</v>
      </c>
      <c r="AK206" s="612">
        <f t="shared" si="204"/>
        <v>29360.82</v>
      </c>
      <c r="AL206" s="632"/>
      <c r="AM206" s="612">
        <f t="shared" si="205"/>
        <v>36645.26</v>
      </c>
      <c r="AN206" s="632"/>
      <c r="AO206" s="612">
        <f t="shared" si="206"/>
        <v>34889.949999999997</v>
      </c>
      <c r="AP206" s="632"/>
      <c r="AQ206" s="620">
        <f>ROUND((AK206*AL206+AM206*AN206+AO206*AP206),2)</f>
        <v>0</v>
      </c>
      <c r="AR206" s="612">
        <f t="shared" si="207"/>
        <v>35718.379999999997</v>
      </c>
      <c r="AS206" s="835"/>
      <c r="AT206" s="620">
        <f>ROUND((AR206*AS206),2)</f>
        <v>0</v>
      </c>
      <c r="AU206" s="633">
        <f>AT206+AQ206+AJ206+AC206+X206+Q206+J206</f>
        <v>22929718.699999999</v>
      </c>
      <c r="AV206" s="836"/>
      <c r="AW206" s="612">
        <f t="shared" si="208"/>
        <v>65258.22</v>
      </c>
      <c r="AX206" s="632"/>
      <c r="AY206" s="612">
        <f t="shared" si="209"/>
        <v>81192.94</v>
      </c>
      <c r="AZ206" s="632"/>
      <c r="BA206" s="612">
        <f t="shared" si="210"/>
        <v>77353.2</v>
      </c>
      <c r="BB206" s="632"/>
      <c r="BC206" s="620">
        <f>ROUND((AW206*AX206+AY206*AZ206+BA206*BB206),2)</f>
        <v>0</v>
      </c>
      <c r="BD206" s="612">
        <f t="shared" si="211"/>
        <v>77787.27</v>
      </c>
      <c r="BE206" s="631"/>
      <c r="BF206" s="612">
        <f t="shared" si="212"/>
        <v>96908.93</v>
      </c>
      <c r="BG206" s="631"/>
      <c r="BH206" s="620">
        <f>ROUND((BD206*BE206+BF206*BG206),2)</f>
        <v>0</v>
      </c>
      <c r="BI206" s="623">
        <f>BH206+BC206</f>
        <v>0</v>
      </c>
      <c r="BJ206" s="612">
        <f t="shared" si="213"/>
        <v>25708.01</v>
      </c>
      <c r="BK206" s="631"/>
      <c r="BL206" s="612">
        <f t="shared" si="214"/>
        <v>27763.9</v>
      </c>
      <c r="BM206" s="631"/>
      <c r="BN206" s="612">
        <f t="shared" si="215"/>
        <v>23851.91</v>
      </c>
      <c r="BO206" s="631"/>
      <c r="BP206" s="620">
        <f>ROUND((BJ206*BK206+BL206*BM206+BN206*BO206),2)</f>
        <v>0</v>
      </c>
      <c r="BQ206" s="612">
        <f t="shared" si="216"/>
        <v>42444.76</v>
      </c>
      <c r="BR206" s="631"/>
      <c r="BS206" s="612">
        <f t="shared" si="217"/>
        <v>46158.78</v>
      </c>
      <c r="BT206" s="631"/>
      <c r="BU206" s="612">
        <f t="shared" si="218"/>
        <v>39091.67</v>
      </c>
      <c r="BV206" s="631"/>
      <c r="BW206" s="620">
        <f>ROUND((BQ206*BR206+BS206*BT206+BU206*BV206),2)</f>
        <v>0</v>
      </c>
      <c r="BX206" s="837">
        <f t="shared" si="221"/>
        <v>649</v>
      </c>
      <c r="BY206" s="636"/>
      <c r="BZ206" s="636"/>
    </row>
    <row r="207" spans="1:78" s="652" customFormat="1" ht="33">
      <c r="A207" s="838"/>
      <c r="B207" s="816" t="s">
        <v>549</v>
      </c>
      <c r="C207" s="839"/>
      <c r="D207" s="612">
        <f t="shared" si="190"/>
        <v>31250.82</v>
      </c>
      <c r="E207" s="814">
        <v>56</v>
      </c>
      <c r="F207" s="612">
        <f t="shared" si="191"/>
        <v>38535.26</v>
      </c>
      <c r="G207" s="814">
        <v>67</v>
      </c>
      <c r="H207" s="612">
        <f t="shared" si="192"/>
        <v>36779.949999999997</v>
      </c>
      <c r="I207" s="814"/>
      <c r="J207" s="620">
        <f>ROUND((D207*E207+F207*G207+H207*I207),2)</f>
        <v>4331908.34</v>
      </c>
      <c r="K207" s="612">
        <f t="shared" si="193"/>
        <v>35546.49</v>
      </c>
      <c r="L207" s="647"/>
      <c r="M207" s="612">
        <f t="shared" si="194"/>
        <v>43923.6</v>
      </c>
      <c r="N207" s="647"/>
      <c r="O207" s="612">
        <f t="shared" si="195"/>
        <v>41904.99</v>
      </c>
      <c r="P207" s="647"/>
      <c r="Q207" s="620">
        <f>ROUND((K207*L207+M207*N207+O207*P207),2)</f>
        <v>0</v>
      </c>
      <c r="R207" s="612">
        <f t="shared" si="196"/>
        <v>41274.050000000003</v>
      </c>
      <c r="S207" s="647"/>
      <c r="T207" s="612">
        <f t="shared" si="197"/>
        <v>51108.05</v>
      </c>
      <c r="U207" s="647"/>
      <c r="V207" s="612">
        <f t="shared" si="198"/>
        <v>48738.38</v>
      </c>
      <c r="W207" s="647"/>
      <c r="X207" s="620">
        <f>ROUND((R207*S207+T207*U207+V207*W207),2)</f>
        <v>0</v>
      </c>
      <c r="Y207" s="612">
        <f t="shared" si="199"/>
        <v>45569.73</v>
      </c>
      <c r="Z207" s="814">
        <v>22</v>
      </c>
      <c r="AA207" s="612">
        <f t="shared" si="200"/>
        <v>56496.39</v>
      </c>
      <c r="AB207" s="814">
        <v>24</v>
      </c>
      <c r="AC207" s="620">
        <f>ROUND((Y207*Z207+AA207*AB207),2)</f>
        <v>2358447.42</v>
      </c>
      <c r="AD207" s="612">
        <f t="shared" si="201"/>
        <v>54161.08</v>
      </c>
      <c r="AE207" s="814">
        <v>9</v>
      </c>
      <c r="AF207" s="612">
        <f t="shared" si="202"/>
        <v>67273.070000000007</v>
      </c>
      <c r="AG207" s="814">
        <v>6</v>
      </c>
      <c r="AH207" s="612">
        <f t="shared" si="203"/>
        <v>64113.51</v>
      </c>
      <c r="AI207" s="648"/>
      <c r="AJ207" s="620">
        <f>ROUND((AD207*AE207+AF207*AG207+AH207*AI207),2)</f>
        <v>891088.14</v>
      </c>
      <c r="AK207" s="612">
        <f t="shared" si="204"/>
        <v>29360.82</v>
      </c>
      <c r="AL207" s="648"/>
      <c r="AM207" s="612">
        <f t="shared" si="205"/>
        <v>36645.26</v>
      </c>
      <c r="AN207" s="648"/>
      <c r="AO207" s="612">
        <f t="shared" si="206"/>
        <v>34889.949999999997</v>
      </c>
      <c r="AP207" s="648"/>
      <c r="AQ207" s="620">
        <f>ROUND((AK207*AL207+AM207*AN207+AO207*AP207),2)</f>
        <v>0</v>
      </c>
      <c r="AR207" s="612">
        <f t="shared" si="207"/>
        <v>35718.379999999997</v>
      </c>
      <c r="AS207" s="814">
        <v>35</v>
      </c>
      <c r="AT207" s="620">
        <f>ROUND((AR207*AS207),2)</f>
        <v>1250143.3</v>
      </c>
      <c r="AU207" s="633">
        <f>AT207+AQ207+AJ207+AC207+X207+Q207+J207</f>
        <v>8831587.1999999993</v>
      </c>
      <c r="AV207" s="649"/>
      <c r="AW207" s="612">
        <f t="shared" si="208"/>
        <v>65258.22</v>
      </c>
      <c r="AX207" s="648"/>
      <c r="AY207" s="612">
        <f t="shared" si="209"/>
        <v>81192.94</v>
      </c>
      <c r="AZ207" s="648"/>
      <c r="BA207" s="612">
        <f t="shared" si="210"/>
        <v>77353.2</v>
      </c>
      <c r="BB207" s="648"/>
      <c r="BC207" s="620">
        <f>ROUND((AW207*AX207+AY207*AZ207+BA207*BB207),2)</f>
        <v>0</v>
      </c>
      <c r="BD207" s="612">
        <f t="shared" si="211"/>
        <v>77787.27</v>
      </c>
      <c r="BE207" s="647"/>
      <c r="BF207" s="612">
        <f t="shared" si="212"/>
        <v>96908.93</v>
      </c>
      <c r="BG207" s="647"/>
      <c r="BH207" s="620">
        <f>ROUND((BD207*BE207+BF207*BG207),2)</f>
        <v>0</v>
      </c>
      <c r="BI207" s="623">
        <f>BH207+BC207</f>
        <v>0</v>
      </c>
      <c r="BJ207" s="612">
        <f t="shared" si="213"/>
        <v>25708.01</v>
      </c>
      <c r="BK207" s="647"/>
      <c r="BL207" s="612">
        <f t="shared" si="214"/>
        <v>27763.9</v>
      </c>
      <c r="BM207" s="647"/>
      <c r="BN207" s="612">
        <f t="shared" si="215"/>
        <v>23851.91</v>
      </c>
      <c r="BO207" s="647"/>
      <c r="BP207" s="620">
        <f>ROUND((BJ207*BK207+BL207*BM207+BN207*BO207),2)</f>
        <v>0</v>
      </c>
      <c r="BQ207" s="612">
        <f t="shared" si="216"/>
        <v>42444.76</v>
      </c>
      <c r="BR207" s="647"/>
      <c r="BS207" s="612">
        <f t="shared" si="217"/>
        <v>46158.78</v>
      </c>
      <c r="BT207" s="647"/>
      <c r="BU207" s="612">
        <f t="shared" si="218"/>
        <v>39091.67</v>
      </c>
      <c r="BV207" s="647"/>
      <c r="BW207" s="620">
        <f>ROUND((BQ207*BR207+BS207*BT207+BU207*BV207),2)</f>
        <v>0</v>
      </c>
      <c r="BX207" s="815">
        <f>E207+G207+Z207+AB207+AS207+AG207+AE207</f>
        <v>219</v>
      </c>
      <c r="BY207" s="651"/>
      <c r="BZ207" s="651"/>
    </row>
    <row r="208" spans="1:78" s="668" customFormat="1" ht="16.5">
      <c r="A208" s="840"/>
      <c r="B208" s="819" t="s">
        <v>550</v>
      </c>
      <c r="C208" s="841"/>
      <c r="D208" s="612">
        <f t="shared" si="190"/>
        <v>31250.82</v>
      </c>
      <c r="E208" s="821">
        <f>E207+E206</f>
        <v>328</v>
      </c>
      <c r="F208" s="612">
        <f t="shared" si="191"/>
        <v>38535.26</v>
      </c>
      <c r="G208" s="821">
        <f>G207+G206</f>
        <v>388</v>
      </c>
      <c r="H208" s="612">
        <f t="shared" si="192"/>
        <v>36779.949999999997</v>
      </c>
      <c r="I208" s="821">
        <f>I207+I206</f>
        <v>56</v>
      </c>
      <c r="J208" s="821">
        <f>J207+J206</f>
        <v>27261627.039999999</v>
      </c>
      <c r="K208" s="612">
        <f t="shared" si="193"/>
        <v>35546.49</v>
      </c>
      <c r="L208" s="821">
        <f>L207+L206</f>
        <v>0</v>
      </c>
      <c r="M208" s="612">
        <f t="shared" si="194"/>
        <v>43923.6</v>
      </c>
      <c r="N208" s="821">
        <f>N207+N206</f>
        <v>0</v>
      </c>
      <c r="O208" s="612">
        <f t="shared" si="195"/>
        <v>41904.99</v>
      </c>
      <c r="P208" s="821">
        <f>P207+P206</f>
        <v>0</v>
      </c>
      <c r="Q208" s="821">
        <f>Q207+Q206</f>
        <v>0</v>
      </c>
      <c r="R208" s="612">
        <f t="shared" si="196"/>
        <v>41274.050000000003</v>
      </c>
      <c r="S208" s="821">
        <f>S207+S206</f>
        <v>0</v>
      </c>
      <c r="T208" s="612">
        <f t="shared" si="197"/>
        <v>51108.05</v>
      </c>
      <c r="U208" s="821">
        <f>U207+U206</f>
        <v>0</v>
      </c>
      <c r="V208" s="612">
        <f t="shared" si="198"/>
        <v>48738.38</v>
      </c>
      <c r="W208" s="821">
        <f>W207+W206</f>
        <v>0</v>
      </c>
      <c r="X208" s="821">
        <f>X207+X206</f>
        <v>0</v>
      </c>
      <c r="Y208" s="612">
        <f t="shared" si="199"/>
        <v>45569.73</v>
      </c>
      <c r="Z208" s="821">
        <f>Z207+Z206</f>
        <v>22</v>
      </c>
      <c r="AA208" s="612">
        <f t="shared" si="200"/>
        <v>56496.39</v>
      </c>
      <c r="AB208" s="821">
        <f>AB207+AB206</f>
        <v>24</v>
      </c>
      <c r="AC208" s="821">
        <f>AC207+AC206</f>
        <v>2358447.42</v>
      </c>
      <c r="AD208" s="612">
        <f t="shared" si="201"/>
        <v>54161.08</v>
      </c>
      <c r="AE208" s="821">
        <f>AE207+AE206</f>
        <v>9</v>
      </c>
      <c r="AF208" s="612">
        <f t="shared" si="202"/>
        <v>67273.070000000007</v>
      </c>
      <c r="AG208" s="821">
        <f>AG207+AG206</f>
        <v>6</v>
      </c>
      <c r="AH208" s="612">
        <f t="shared" si="203"/>
        <v>64113.51</v>
      </c>
      <c r="AI208" s="821">
        <f>AI207+AI206</f>
        <v>0</v>
      </c>
      <c r="AJ208" s="821">
        <f>AJ207+AJ206</f>
        <v>891088.14</v>
      </c>
      <c r="AK208" s="612">
        <f t="shared" si="204"/>
        <v>29360.82</v>
      </c>
      <c r="AL208" s="821">
        <f>AL207+AL206</f>
        <v>0</v>
      </c>
      <c r="AM208" s="612">
        <f t="shared" si="205"/>
        <v>36645.26</v>
      </c>
      <c r="AN208" s="821">
        <f>AN207+AN206</f>
        <v>0</v>
      </c>
      <c r="AO208" s="612">
        <f t="shared" si="206"/>
        <v>34889.949999999997</v>
      </c>
      <c r="AP208" s="821">
        <f>AP207+AP206</f>
        <v>0</v>
      </c>
      <c r="AQ208" s="821">
        <f>AQ207+AQ206</f>
        <v>0</v>
      </c>
      <c r="AR208" s="612">
        <f t="shared" si="207"/>
        <v>35718.379999999997</v>
      </c>
      <c r="AS208" s="821">
        <f>AS207+AS206</f>
        <v>35</v>
      </c>
      <c r="AT208" s="821">
        <f>AT207+AT206</f>
        <v>1250143.3</v>
      </c>
      <c r="AU208" s="1075">
        <f>AU207+AU206</f>
        <v>31761305.899999999</v>
      </c>
      <c r="AV208" s="822">
        <f>'старое не смотреть'!D349</f>
        <v>34040893.549999997</v>
      </c>
      <c r="AW208" s="612">
        <f t="shared" si="208"/>
        <v>65258.22</v>
      </c>
      <c r="AX208" s="821">
        <f>AX207+AX206</f>
        <v>0</v>
      </c>
      <c r="AY208" s="612">
        <f t="shared" si="209"/>
        <v>81192.94</v>
      </c>
      <c r="AZ208" s="821">
        <f>AZ207+AZ206</f>
        <v>0</v>
      </c>
      <c r="BA208" s="612">
        <f t="shared" si="210"/>
        <v>77353.2</v>
      </c>
      <c r="BB208" s="821">
        <f>BB207+BB206</f>
        <v>0</v>
      </c>
      <c r="BC208" s="821">
        <f>BC207+BC206</f>
        <v>0</v>
      </c>
      <c r="BD208" s="612">
        <f t="shared" si="211"/>
        <v>77787.27</v>
      </c>
      <c r="BE208" s="821">
        <f>BE207+BE206</f>
        <v>0</v>
      </c>
      <c r="BF208" s="612">
        <f t="shared" si="212"/>
        <v>96908.93</v>
      </c>
      <c r="BG208" s="821">
        <f>BG207+BG206</f>
        <v>0</v>
      </c>
      <c r="BH208" s="821">
        <f>BH207+BH206</f>
        <v>0</v>
      </c>
      <c r="BI208" s="821">
        <f>BI207+BI206</f>
        <v>0</v>
      </c>
      <c r="BJ208" s="612">
        <f t="shared" si="213"/>
        <v>25708.01</v>
      </c>
      <c r="BK208" s="821">
        <f>BK207+BK206</f>
        <v>0</v>
      </c>
      <c r="BL208" s="612">
        <f t="shared" si="214"/>
        <v>27763.9</v>
      </c>
      <c r="BM208" s="821">
        <f>BM207+BM206</f>
        <v>0</v>
      </c>
      <c r="BN208" s="612">
        <f t="shared" si="215"/>
        <v>23851.91</v>
      </c>
      <c r="BO208" s="821">
        <f>BO207+BO206</f>
        <v>0</v>
      </c>
      <c r="BP208" s="821">
        <f>BP207+BP206</f>
        <v>0</v>
      </c>
      <c r="BQ208" s="612">
        <f t="shared" si="216"/>
        <v>42444.76</v>
      </c>
      <c r="BR208" s="821">
        <f t="shared" ref="BR208:BX208" si="223">BR207+BR206</f>
        <v>0</v>
      </c>
      <c r="BS208" s="612">
        <f t="shared" si="217"/>
        <v>46158.78</v>
      </c>
      <c r="BT208" s="821">
        <f t="shared" si="223"/>
        <v>0</v>
      </c>
      <c r="BU208" s="612">
        <f t="shared" si="218"/>
        <v>39091.67</v>
      </c>
      <c r="BV208" s="821">
        <f t="shared" si="223"/>
        <v>0</v>
      </c>
      <c r="BW208" s="821">
        <f t="shared" si="223"/>
        <v>0</v>
      </c>
      <c r="BX208" s="823">
        <f t="shared" si="223"/>
        <v>868</v>
      </c>
      <c r="BY208" s="667"/>
      <c r="BZ208" s="667"/>
    </row>
    <row r="209" spans="1:78" s="644" customFormat="1" ht="16.5">
      <c r="A209" s="830">
        <v>5</v>
      </c>
      <c r="B209" s="824" t="s">
        <v>551</v>
      </c>
      <c r="C209" s="831"/>
      <c r="D209" s="612">
        <f t="shared" si="190"/>
        <v>31250.82</v>
      </c>
      <c r="E209" s="821">
        <v>185</v>
      </c>
      <c r="F209" s="612">
        <f t="shared" si="191"/>
        <v>38535.26</v>
      </c>
      <c r="G209" s="821">
        <v>306</v>
      </c>
      <c r="H209" s="612">
        <f t="shared" si="192"/>
        <v>36779.949999999997</v>
      </c>
      <c r="I209" s="821">
        <v>44</v>
      </c>
      <c r="J209" s="620">
        <f>ROUND((D209*E209+F209*G209+H209*I209),2)</f>
        <v>19191509.059999999</v>
      </c>
      <c r="K209" s="612">
        <f t="shared" si="193"/>
        <v>35546.49</v>
      </c>
      <c r="L209" s="826"/>
      <c r="M209" s="612">
        <f t="shared" si="194"/>
        <v>43923.6</v>
      </c>
      <c r="N209" s="826"/>
      <c r="O209" s="612">
        <f t="shared" si="195"/>
        <v>41904.99</v>
      </c>
      <c r="P209" s="826"/>
      <c r="Q209" s="620">
        <f>ROUND((K209*L209+M209*N209+O209*P209),2)</f>
        <v>0</v>
      </c>
      <c r="R209" s="612">
        <f t="shared" si="196"/>
        <v>41274.050000000003</v>
      </c>
      <c r="S209" s="826"/>
      <c r="T209" s="612">
        <f t="shared" si="197"/>
        <v>51108.05</v>
      </c>
      <c r="U209" s="826"/>
      <c r="V209" s="612">
        <f t="shared" si="198"/>
        <v>48738.38</v>
      </c>
      <c r="W209" s="826"/>
      <c r="X209" s="620">
        <f>ROUND((R209*S209+T209*U209+V209*W209),2)</f>
        <v>0</v>
      </c>
      <c r="Y209" s="612">
        <f t="shared" si="199"/>
        <v>45569.73</v>
      </c>
      <c r="Z209" s="821"/>
      <c r="AA209" s="612">
        <f t="shared" si="200"/>
        <v>56496.39</v>
      </c>
      <c r="AB209" s="821"/>
      <c r="AC209" s="620">
        <f>ROUND((Y209*Z209+AA209*AB209),2)</f>
        <v>0</v>
      </c>
      <c r="AD209" s="612">
        <f t="shared" si="201"/>
        <v>54161.08</v>
      </c>
      <c r="AE209" s="821"/>
      <c r="AF209" s="612">
        <f t="shared" si="202"/>
        <v>67273.070000000007</v>
      </c>
      <c r="AG209" s="821">
        <v>2</v>
      </c>
      <c r="AH209" s="612">
        <f t="shared" si="203"/>
        <v>64113.51</v>
      </c>
      <c r="AI209" s="827"/>
      <c r="AJ209" s="620">
        <f>ROUND((AD209*AE209+AF209*AG209+AH209*AI209),2)</f>
        <v>134546.14000000001</v>
      </c>
      <c r="AK209" s="612">
        <f t="shared" si="204"/>
        <v>29360.82</v>
      </c>
      <c r="AL209" s="827"/>
      <c r="AM209" s="612">
        <f t="shared" si="205"/>
        <v>36645.26</v>
      </c>
      <c r="AN209" s="827"/>
      <c r="AO209" s="612">
        <f t="shared" si="206"/>
        <v>34889.949999999997</v>
      </c>
      <c r="AP209" s="827"/>
      <c r="AQ209" s="620">
        <f>ROUND((AK209*AL209+AM209*AN209+AO209*AP209),2)</f>
        <v>0</v>
      </c>
      <c r="AR209" s="612">
        <f t="shared" si="207"/>
        <v>35718.379999999997</v>
      </c>
      <c r="AS209" s="821"/>
      <c r="AT209" s="620">
        <f>ROUND((AR209*AS209),2)</f>
        <v>0</v>
      </c>
      <c r="AU209" s="622">
        <f>AT209+AQ209+AJ209+AC209+X209+Q209+J209</f>
        <v>19326055.199999999</v>
      </c>
      <c r="AV209" s="828">
        <f>AU209</f>
        <v>19326055.199999999</v>
      </c>
      <c r="AW209" s="612">
        <f t="shared" si="208"/>
        <v>65258.22</v>
      </c>
      <c r="AX209" s="827"/>
      <c r="AY209" s="612">
        <f t="shared" si="209"/>
        <v>81192.94</v>
      </c>
      <c r="AZ209" s="827"/>
      <c r="BA209" s="612">
        <f t="shared" si="210"/>
        <v>77353.2</v>
      </c>
      <c r="BB209" s="827"/>
      <c r="BC209" s="620">
        <f>ROUND((AW209*AX209+AY209*AZ209+BA209*BB209),2)</f>
        <v>0</v>
      </c>
      <c r="BD209" s="612">
        <f t="shared" si="211"/>
        <v>77787.27</v>
      </c>
      <c r="BE209" s="826"/>
      <c r="BF209" s="612">
        <f t="shared" si="212"/>
        <v>96908.93</v>
      </c>
      <c r="BG209" s="826"/>
      <c r="BH209" s="620">
        <f>ROUND((BD209*BE209+BF209*BG209),2)</f>
        <v>0</v>
      </c>
      <c r="BI209" s="623">
        <f>BH209+BC209</f>
        <v>0</v>
      </c>
      <c r="BJ209" s="612">
        <f t="shared" si="213"/>
        <v>25708.01</v>
      </c>
      <c r="BK209" s="826"/>
      <c r="BL209" s="612">
        <f t="shared" si="214"/>
        <v>27763.9</v>
      </c>
      <c r="BM209" s="826"/>
      <c r="BN209" s="612">
        <f t="shared" si="215"/>
        <v>23851.91</v>
      </c>
      <c r="BO209" s="826"/>
      <c r="BP209" s="620">
        <f>ROUND((BJ209*BK209+BL209*BM209+BN209*BO209),2)</f>
        <v>0</v>
      </c>
      <c r="BQ209" s="612">
        <f t="shared" si="216"/>
        <v>42444.76</v>
      </c>
      <c r="BR209" s="826"/>
      <c r="BS209" s="612">
        <f t="shared" si="217"/>
        <v>46158.78</v>
      </c>
      <c r="BT209" s="826"/>
      <c r="BU209" s="612">
        <f t="shared" si="218"/>
        <v>39091.67</v>
      </c>
      <c r="BV209" s="826"/>
      <c r="BW209" s="620">
        <f>ROUND((BQ209*BR209+BS209*BT209+BU209*BV209),2)</f>
        <v>0</v>
      </c>
      <c r="BX209" s="829">
        <f t="shared" si="221"/>
        <v>537</v>
      </c>
      <c r="BY209" s="643"/>
      <c r="BZ209" s="643"/>
    </row>
    <row r="210" spans="1:78" s="644" customFormat="1" ht="16.5">
      <c r="A210" s="842">
        <v>6</v>
      </c>
      <c r="B210" s="824" t="s">
        <v>552</v>
      </c>
      <c r="C210" s="843"/>
      <c r="D210" s="612">
        <f t="shared" si="190"/>
        <v>31250.82</v>
      </c>
      <c r="E210" s="821">
        <v>185</v>
      </c>
      <c r="F210" s="612">
        <f t="shared" si="191"/>
        <v>38535.26</v>
      </c>
      <c r="G210" s="821">
        <v>214</v>
      </c>
      <c r="H210" s="612">
        <f t="shared" si="192"/>
        <v>36779.949999999997</v>
      </c>
      <c r="I210" s="821">
        <v>43</v>
      </c>
      <c r="J210" s="620">
        <f>ROUND((D210*E210+F210*G210+H210*I210),2)</f>
        <v>15609485.189999999</v>
      </c>
      <c r="K210" s="612">
        <f t="shared" si="193"/>
        <v>35546.49</v>
      </c>
      <c r="L210" s="826"/>
      <c r="M210" s="612">
        <f t="shared" si="194"/>
        <v>43923.6</v>
      </c>
      <c r="N210" s="826"/>
      <c r="O210" s="612">
        <f t="shared" si="195"/>
        <v>41904.99</v>
      </c>
      <c r="P210" s="826"/>
      <c r="Q210" s="620">
        <f>ROUND((K210*L210+M210*N210+O210*P210),2)</f>
        <v>0</v>
      </c>
      <c r="R210" s="612">
        <f t="shared" si="196"/>
        <v>41274.050000000003</v>
      </c>
      <c r="S210" s="826"/>
      <c r="T210" s="612">
        <f t="shared" si="197"/>
        <v>51108.05</v>
      </c>
      <c r="U210" s="826"/>
      <c r="V210" s="612">
        <f t="shared" si="198"/>
        <v>48738.38</v>
      </c>
      <c r="W210" s="826"/>
      <c r="X210" s="620">
        <f>ROUND((R210*S210+T210*U210+V210*W210),2)</f>
        <v>0</v>
      </c>
      <c r="Y210" s="612">
        <f t="shared" si="199"/>
        <v>45569.73</v>
      </c>
      <c r="Z210" s="821"/>
      <c r="AA210" s="612">
        <f t="shared" si="200"/>
        <v>56496.39</v>
      </c>
      <c r="AB210" s="821"/>
      <c r="AC210" s="620">
        <f>ROUND((Y210*Z210+AA210*AB210),2)</f>
        <v>0</v>
      </c>
      <c r="AD210" s="612">
        <f t="shared" si="201"/>
        <v>54161.08</v>
      </c>
      <c r="AE210" s="821"/>
      <c r="AF210" s="612">
        <f t="shared" si="202"/>
        <v>67273.070000000007</v>
      </c>
      <c r="AG210" s="821"/>
      <c r="AH210" s="612">
        <f t="shared" si="203"/>
        <v>64113.51</v>
      </c>
      <c r="AI210" s="827"/>
      <c r="AJ210" s="620">
        <f>ROUND((AD210*AE210+AF210*AG210+AH210*AI210),2)</f>
        <v>0</v>
      </c>
      <c r="AK210" s="612">
        <f t="shared" si="204"/>
        <v>29360.82</v>
      </c>
      <c r="AL210" s="827"/>
      <c r="AM210" s="612">
        <f t="shared" si="205"/>
        <v>36645.26</v>
      </c>
      <c r="AN210" s="827"/>
      <c r="AO210" s="612">
        <f t="shared" si="206"/>
        <v>34889.949999999997</v>
      </c>
      <c r="AP210" s="827"/>
      <c r="AQ210" s="620">
        <f>ROUND((AK210*AL210+AM210*AN210+AO210*AP210),2)</f>
        <v>0</v>
      </c>
      <c r="AR210" s="612">
        <f t="shared" si="207"/>
        <v>35718.379999999997</v>
      </c>
      <c r="AS210" s="821"/>
      <c r="AT210" s="620">
        <f>ROUND((AR210*AS210),2)</f>
        <v>0</v>
      </c>
      <c r="AU210" s="633">
        <f>AT210+AQ210+AJ210+AC210+X210+Q210+J210</f>
        <v>15609485.189999999</v>
      </c>
      <c r="AV210" s="828">
        <f>AU210</f>
        <v>15609485.189999999</v>
      </c>
      <c r="AW210" s="612">
        <f t="shared" si="208"/>
        <v>65258.22</v>
      </c>
      <c r="AX210" s="827"/>
      <c r="AY210" s="612">
        <f t="shared" si="209"/>
        <v>81192.94</v>
      </c>
      <c r="AZ210" s="827"/>
      <c r="BA210" s="612">
        <f t="shared" si="210"/>
        <v>77353.2</v>
      </c>
      <c r="BB210" s="827"/>
      <c r="BC210" s="620">
        <f>ROUND((AW210*AX210+AY210*AZ210+BA210*BB210),2)</f>
        <v>0</v>
      </c>
      <c r="BD210" s="612">
        <f t="shared" si="211"/>
        <v>77787.27</v>
      </c>
      <c r="BE210" s="826"/>
      <c r="BF210" s="612">
        <f t="shared" si="212"/>
        <v>96908.93</v>
      </c>
      <c r="BG210" s="826"/>
      <c r="BH210" s="620">
        <f>ROUND((BD210*BE210+BF210*BG210),2)</f>
        <v>0</v>
      </c>
      <c r="BI210" s="623">
        <f>BH210+BC210</f>
        <v>0</v>
      </c>
      <c r="BJ210" s="612">
        <f t="shared" si="213"/>
        <v>25708.01</v>
      </c>
      <c r="BK210" s="826"/>
      <c r="BL210" s="612">
        <f t="shared" si="214"/>
        <v>27763.9</v>
      </c>
      <c r="BM210" s="826"/>
      <c r="BN210" s="612">
        <f t="shared" si="215"/>
        <v>23851.91</v>
      </c>
      <c r="BO210" s="826"/>
      <c r="BP210" s="620">
        <f>ROUND((BJ210*BK210+BL210*BM210+BN210*BO210),2)</f>
        <v>0</v>
      </c>
      <c r="BQ210" s="612">
        <f t="shared" si="216"/>
        <v>42444.76</v>
      </c>
      <c r="BR210" s="826"/>
      <c r="BS210" s="612">
        <f t="shared" si="217"/>
        <v>46158.78</v>
      </c>
      <c r="BT210" s="826"/>
      <c r="BU210" s="612">
        <f t="shared" si="218"/>
        <v>39091.67</v>
      </c>
      <c r="BV210" s="826"/>
      <c r="BW210" s="620">
        <f>ROUND((BQ210*BR210+BS210*BT210+BU210*BV210),2)</f>
        <v>0</v>
      </c>
      <c r="BX210" s="829">
        <f t="shared" si="221"/>
        <v>442</v>
      </c>
      <c r="BY210" s="643"/>
      <c r="BZ210" s="643"/>
    </row>
    <row r="211" spans="1:78" s="616" customFormat="1" ht="18.75">
      <c r="A211" s="844"/>
      <c r="B211" s="845" t="s">
        <v>553</v>
      </c>
      <c r="C211" s="844"/>
      <c r="D211" s="612">
        <f t="shared" si="190"/>
        <v>31250.82</v>
      </c>
      <c r="E211" s="846">
        <f>E210+E209+E208+E205+E204+E203</f>
        <v>1485</v>
      </c>
      <c r="F211" s="612">
        <f t="shared" si="191"/>
        <v>38535.26</v>
      </c>
      <c r="G211" s="846">
        <f>G210+G209+G208+G205+G204+G203</f>
        <v>1890</v>
      </c>
      <c r="H211" s="612">
        <f t="shared" si="192"/>
        <v>36779.949999999997</v>
      </c>
      <c r="I211" s="846">
        <f>I210+I209+I208+I205+I204+I203</f>
        <v>339</v>
      </c>
      <c r="J211" s="846">
        <f>J210+J209+J208+J205+J204+J203</f>
        <v>131707512.14999999</v>
      </c>
      <c r="K211" s="612">
        <f t="shared" si="193"/>
        <v>35546.49</v>
      </c>
      <c r="L211" s="846">
        <f>L210+L209+L208+L205+L204+L203</f>
        <v>0</v>
      </c>
      <c r="M211" s="612">
        <f t="shared" si="194"/>
        <v>43923.6</v>
      </c>
      <c r="N211" s="846">
        <f>N210+N209+N208+N205+N204+N203</f>
        <v>0</v>
      </c>
      <c r="O211" s="612">
        <f t="shared" si="195"/>
        <v>41904.99</v>
      </c>
      <c r="P211" s="846">
        <f>P210+P209+P208+P205+P204+P203</f>
        <v>0</v>
      </c>
      <c r="Q211" s="846">
        <f>Q210+Q209+Q208+Q205+Q204+Q203</f>
        <v>0</v>
      </c>
      <c r="R211" s="612">
        <f t="shared" si="196"/>
        <v>41274.050000000003</v>
      </c>
      <c r="S211" s="846">
        <f>S210+S209+S208+S205+S204+S203</f>
        <v>0</v>
      </c>
      <c r="T211" s="612">
        <f t="shared" si="197"/>
        <v>51108.05</v>
      </c>
      <c r="U211" s="846">
        <f>U210+U209+U208+U205+U204+U203</f>
        <v>0</v>
      </c>
      <c r="V211" s="612">
        <f t="shared" si="198"/>
        <v>48738.38</v>
      </c>
      <c r="W211" s="846">
        <f>W210+W209+W208+W205+W204+W203</f>
        <v>0</v>
      </c>
      <c r="X211" s="846">
        <f>X210+X209+X208+X205+X204+X203</f>
        <v>0</v>
      </c>
      <c r="Y211" s="612">
        <f t="shared" si="199"/>
        <v>45569.73</v>
      </c>
      <c r="Z211" s="846">
        <f>Z210+Z209+Z208+Z205+Z204+Z203</f>
        <v>22</v>
      </c>
      <c r="AA211" s="612">
        <f t="shared" si="200"/>
        <v>56496.39</v>
      </c>
      <c r="AB211" s="846">
        <f>AB210+AB209+AB208+AB205+AB204+AB203</f>
        <v>24</v>
      </c>
      <c r="AC211" s="846">
        <f>AC210+AC209+AC208+AC205+AC204+AC203</f>
        <v>2358447.42</v>
      </c>
      <c r="AD211" s="612">
        <f t="shared" si="201"/>
        <v>54161.08</v>
      </c>
      <c r="AE211" s="846">
        <f>AE210+AE209+AE208+AE205+AE204+AE203</f>
        <v>9</v>
      </c>
      <c r="AF211" s="612">
        <f t="shared" si="202"/>
        <v>67273.070000000007</v>
      </c>
      <c r="AG211" s="846">
        <f>AG210+AG209+AG208+AG205+AG204+AG203</f>
        <v>8</v>
      </c>
      <c r="AH211" s="612">
        <f t="shared" si="203"/>
        <v>64113.51</v>
      </c>
      <c r="AI211" s="846">
        <f>AI210+AI209+AI208+AI205+AI204+AI203</f>
        <v>0</v>
      </c>
      <c r="AJ211" s="846">
        <f>AJ210+AJ209+AJ208+AJ205+AJ204+AJ203</f>
        <v>1025634.28</v>
      </c>
      <c r="AK211" s="612">
        <f t="shared" si="204"/>
        <v>29360.82</v>
      </c>
      <c r="AL211" s="846">
        <f>AL210+AL209+AL208+AL205+AL204+AL203</f>
        <v>0</v>
      </c>
      <c r="AM211" s="612">
        <f t="shared" si="205"/>
        <v>36645.26</v>
      </c>
      <c r="AN211" s="846">
        <f>AN210+AN209+AN208+AN205+AN204+AN203</f>
        <v>0</v>
      </c>
      <c r="AO211" s="612">
        <f t="shared" si="206"/>
        <v>34889.949999999997</v>
      </c>
      <c r="AP211" s="846">
        <f>AP210+AP209+AP208+AP205+AP204+AP203</f>
        <v>0</v>
      </c>
      <c r="AQ211" s="846">
        <f>AQ210+AQ209+AQ208+AQ205+AQ204+AQ203</f>
        <v>0</v>
      </c>
      <c r="AR211" s="612">
        <f t="shared" si="207"/>
        <v>35718.379999999997</v>
      </c>
      <c r="AS211" s="846">
        <f>AS210+AS209+AS208+AS205+AS204+AS203</f>
        <v>230</v>
      </c>
      <c r="AT211" s="846">
        <f>AT210+AT209+AT208+AT205+AT204+AT203</f>
        <v>8215227.3999999994</v>
      </c>
      <c r="AU211" s="1076">
        <f>AU210+AU209+AU208+AU205+AU204+AU203</f>
        <v>143306821.25</v>
      </c>
      <c r="AV211" s="846">
        <f>AV210+AV209+AV208+AV205+AV204+AV203</f>
        <v>147194740.91999999</v>
      </c>
      <c r="AW211" s="612">
        <f t="shared" si="208"/>
        <v>65258.22</v>
      </c>
      <c r="AX211" s="846">
        <f>AX210+AX209+AX208+AX205+AX204+AX203</f>
        <v>0</v>
      </c>
      <c r="AY211" s="612">
        <f t="shared" si="209"/>
        <v>81192.94</v>
      </c>
      <c r="AZ211" s="846">
        <f>AZ210+AZ209+AZ208+AZ205+AZ204+AZ203</f>
        <v>0</v>
      </c>
      <c r="BA211" s="612">
        <f t="shared" si="210"/>
        <v>77353.2</v>
      </c>
      <c r="BB211" s="846">
        <f>BB210+BB209+BB208+BB205+BB204+BB203</f>
        <v>0</v>
      </c>
      <c r="BC211" s="846">
        <f>BC210+BC209+BC208+BC205+BC204+BC203</f>
        <v>0</v>
      </c>
      <c r="BD211" s="612">
        <f t="shared" si="211"/>
        <v>77787.27</v>
      </c>
      <c r="BE211" s="846">
        <f>BE210+BE209+BE208+BE205+BE204+BE203</f>
        <v>0</v>
      </c>
      <c r="BF211" s="612">
        <f t="shared" si="212"/>
        <v>96908.93</v>
      </c>
      <c r="BG211" s="846">
        <f>BG210+BG209+BG208+BG205+BG204+BG203</f>
        <v>0</v>
      </c>
      <c r="BH211" s="846">
        <f>BH210+BH209+BH208+BH205+BH204+BH203</f>
        <v>0</v>
      </c>
      <c r="BI211" s="846">
        <f>BI210+BI209+BI208+BI205+BI204+BI203</f>
        <v>0</v>
      </c>
      <c r="BJ211" s="612">
        <f t="shared" si="213"/>
        <v>25708.01</v>
      </c>
      <c r="BK211" s="846">
        <f>BK210+BK209+BK208+BK205+BK204+BK203</f>
        <v>0</v>
      </c>
      <c r="BL211" s="612">
        <f t="shared" si="214"/>
        <v>27763.9</v>
      </c>
      <c r="BM211" s="846">
        <f>BM210+BM209+BM208+BM205+BM204+BM203</f>
        <v>0</v>
      </c>
      <c r="BN211" s="612">
        <f t="shared" si="215"/>
        <v>23851.91</v>
      </c>
      <c r="BO211" s="846">
        <f>BO210+BO209+BO208+BO205+BO204+BO203</f>
        <v>0</v>
      </c>
      <c r="BP211" s="846">
        <f>BP210+BP209+BP208+BP205+BP204+BP203</f>
        <v>0</v>
      </c>
      <c r="BQ211" s="612">
        <f t="shared" si="216"/>
        <v>42444.76</v>
      </c>
      <c r="BR211" s="846">
        <f t="shared" ref="BR211:BX211" si="224">BR210+BR209+BR208+BR205+BR204+BR203</f>
        <v>0</v>
      </c>
      <c r="BS211" s="612">
        <f t="shared" si="217"/>
        <v>46158.78</v>
      </c>
      <c r="BT211" s="846">
        <f t="shared" si="224"/>
        <v>0</v>
      </c>
      <c r="BU211" s="612">
        <f t="shared" si="218"/>
        <v>39091.67</v>
      </c>
      <c r="BV211" s="846">
        <f t="shared" si="224"/>
        <v>0</v>
      </c>
      <c r="BW211" s="846">
        <f t="shared" si="224"/>
        <v>0</v>
      </c>
      <c r="BX211" s="847">
        <f t="shared" si="224"/>
        <v>4007</v>
      </c>
      <c r="BY211" s="615"/>
      <c r="BZ211" s="615"/>
    </row>
    <row r="212" spans="1:78" ht="18.75">
      <c r="A212" s="1631" t="s">
        <v>554</v>
      </c>
      <c r="B212" s="1632"/>
      <c r="C212" s="1633"/>
      <c r="D212" s="141">
        <f t="shared" ref="D212:D275" si="225">D213</f>
        <v>31250.82</v>
      </c>
      <c r="F212" s="141">
        <f t="shared" ref="F212:F275" si="226">F213</f>
        <v>38535.26</v>
      </c>
      <c r="H212" s="141">
        <f t="shared" ref="H212:H275" si="227">H213</f>
        <v>36779.949999999997</v>
      </c>
      <c r="K212" s="141">
        <f t="shared" ref="K212:K275" si="228">K213</f>
        <v>35546.49</v>
      </c>
      <c r="M212" s="141">
        <f t="shared" ref="M212:M275" si="229">M213</f>
        <v>43923.6</v>
      </c>
      <c r="O212" s="141">
        <f t="shared" ref="O212:O275" si="230">O213</f>
        <v>41904.99</v>
      </c>
      <c r="R212" s="141">
        <f t="shared" ref="R212:R275" si="231">R213</f>
        <v>41274.050000000003</v>
      </c>
      <c r="T212" s="141">
        <f t="shared" ref="T212:T275" si="232">T213</f>
        <v>51108.05</v>
      </c>
      <c r="V212" s="141">
        <f t="shared" ref="V212:V275" si="233">V213</f>
        <v>48738.38</v>
      </c>
      <c r="Y212" s="141">
        <f t="shared" ref="Y212:Y275" si="234">Y213</f>
        <v>45569.73</v>
      </c>
      <c r="AA212" s="141">
        <f t="shared" ref="AA212:AA275" si="235">AA213</f>
        <v>56496.39</v>
      </c>
      <c r="AD212" s="141">
        <f t="shared" ref="AD212:AD275" si="236">AD213</f>
        <v>54161.08</v>
      </c>
      <c r="AF212" s="141">
        <f t="shared" ref="AF212:AF275" si="237">AF213</f>
        <v>67273.070000000007</v>
      </c>
      <c r="AH212" s="141">
        <f t="shared" ref="AH212:AH275" si="238">AH213</f>
        <v>64113.51</v>
      </c>
      <c r="AK212" s="141">
        <f t="shared" ref="AK212:AK275" si="239">AK213</f>
        <v>29360.82</v>
      </c>
      <c r="AM212" s="141">
        <f t="shared" ref="AM212:AM275" si="240">AM213</f>
        <v>36645.26</v>
      </c>
      <c r="AO212" s="141">
        <f t="shared" ref="AO212:AO275" si="241">AO213</f>
        <v>34889.949999999997</v>
      </c>
      <c r="AR212" s="141">
        <f t="shared" ref="AR212:AR275" si="242">AR213</f>
        <v>35718.379999999997</v>
      </c>
      <c r="AV212" s="1057">
        <f>ROUND(AV282/AU282,5)</f>
        <v>1.00048</v>
      </c>
      <c r="AW212" s="141">
        <f t="shared" ref="AW212:AW275" si="243">AW213</f>
        <v>65258.22</v>
      </c>
      <c r="AY212" s="141">
        <f t="shared" ref="AY212:AY275" si="244">AY213</f>
        <v>81192.94</v>
      </c>
      <c r="BA212" s="141">
        <f t="shared" ref="BA212:BA275" si="245">BA213</f>
        <v>77353.2</v>
      </c>
      <c r="BD212" s="141">
        <f t="shared" ref="BD212:BD275" si="246">BD213</f>
        <v>77787.27</v>
      </c>
      <c r="BF212" s="141">
        <f t="shared" ref="BF212:BF275" si="247">BF213</f>
        <v>96908.93</v>
      </c>
      <c r="BJ212" s="141">
        <f t="shared" ref="BJ212:BJ275" si="248">BJ213</f>
        <v>25708.01</v>
      </c>
      <c r="BL212" s="141">
        <f t="shared" ref="BL212:BL275" si="249">BL213</f>
        <v>27763.9</v>
      </c>
      <c r="BN212" s="141">
        <f t="shared" ref="BN212:BN275" si="250">BN213</f>
        <v>23851.91</v>
      </c>
      <c r="BQ212" s="141">
        <f t="shared" ref="BQ212:BQ275" si="251">BQ213</f>
        <v>42444.76</v>
      </c>
      <c r="BS212" s="141">
        <f t="shared" ref="BS212:BS275" si="252">BS213</f>
        <v>46158.78</v>
      </c>
      <c r="BU212" s="141">
        <f t="shared" ref="BU212:BU275" si="253">BU213</f>
        <v>39091.67</v>
      </c>
      <c r="BY212" s="178"/>
      <c r="BZ212" s="178"/>
    </row>
    <row r="213" spans="1:78" s="116" customFormat="1" ht="16.5">
      <c r="A213" s="376">
        <v>1</v>
      </c>
      <c r="B213" s="377" t="s">
        <v>555</v>
      </c>
      <c r="C213" s="378"/>
      <c r="D213" s="709">
        <f t="shared" si="225"/>
        <v>31250.82</v>
      </c>
      <c r="E213" s="187">
        <v>182</v>
      </c>
      <c r="F213" s="709">
        <f t="shared" si="226"/>
        <v>38535.26</v>
      </c>
      <c r="G213" s="187">
        <v>134</v>
      </c>
      <c r="H213" s="709">
        <f t="shared" si="227"/>
        <v>36779.949999999997</v>
      </c>
      <c r="I213" s="187">
        <v>47</v>
      </c>
      <c r="J213" s="711">
        <f t="shared" ref="J213:J277" si="254">ROUND((D213*E213+F213*G213+H213*I213),2)</f>
        <v>12580031.73</v>
      </c>
      <c r="K213" s="709">
        <f t="shared" si="228"/>
        <v>35546.49</v>
      </c>
      <c r="L213" s="187">
        <v>48</v>
      </c>
      <c r="M213" s="709">
        <f t="shared" si="229"/>
        <v>43923.6</v>
      </c>
      <c r="N213" s="187">
        <v>96</v>
      </c>
      <c r="O213" s="709">
        <f t="shared" si="230"/>
        <v>41904.99</v>
      </c>
      <c r="P213" s="187"/>
      <c r="Q213" s="711">
        <f t="shared" ref="Q213:Q277" si="255">ROUND((K213*L213+M213*N213+O213*P213),2)</f>
        <v>5922897.1200000001</v>
      </c>
      <c r="R213" s="709">
        <f t="shared" si="231"/>
        <v>41274.050000000003</v>
      </c>
      <c r="S213" s="187"/>
      <c r="T213" s="709">
        <f t="shared" si="232"/>
        <v>51108.05</v>
      </c>
      <c r="U213" s="187"/>
      <c r="V213" s="709">
        <f t="shared" si="233"/>
        <v>48738.38</v>
      </c>
      <c r="W213" s="187"/>
      <c r="X213" s="711">
        <f t="shared" ref="X213:X277" si="256">ROUND((R213*S213+T213*U213+V213*W213),2)</f>
        <v>0</v>
      </c>
      <c r="Y213" s="709">
        <f t="shared" si="234"/>
        <v>45569.73</v>
      </c>
      <c r="Z213" s="187"/>
      <c r="AA213" s="709">
        <f t="shared" si="235"/>
        <v>56496.39</v>
      </c>
      <c r="AB213" s="187">
        <v>7</v>
      </c>
      <c r="AC213" s="711">
        <f t="shared" ref="AC213:AC277" si="257">ROUND((Y213*Z213+AA213*AB213),2)</f>
        <v>395474.73</v>
      </c>
      <c r="AD213" s="709">
        <f t="shared" si="236"/>
        <v>54161.08</v>
      </c>
      <c r="AE213" s="187">
        <v>4</v>
      </c>
      <c r="AF213" s="709">
        <f t="shared" si="237"/>
        <v>67273.070000000007</v>
      </c>
      <c r="AG213" s="187">
        <v>12</v>
      </c>
      <c r="AH213" s="709">
        <f t="shared" si="238"/>
        <v>64113.51</v>
      </c>
      <c r="AI213" s="187"/>
      <c r="AJ213" s="711">
        <f t="shared" ref="AJ213:AJ277" si="258">ROUND((AD213*AE213+AF213*AG213+AH213*AI213),2)</f>
        <v>1023921.16</v>
      </c>
      <c r="AK213" s="709">
        <f t="shared" si="239"/>
        <v>29360.82</v>
      </c>
      <c r="AL213" s="187"/>
      <c r="AM213" s="709">
        <f t="shared" si="240"/>
        <v>36645.26</v>
      </c>
      <c r="AN213" s="187"/>
      <c r="AO213" s="709">
        <f t="shared" si="241"/>
        <v>34889.949999999997</v>
      </c>
      <c r="AP213" s="187"/>
      <c r="AQ213" s="711">
        <f t="shared" ref="AQ213:AQ277" si="259">ROUND((AK213*AL213+AM213*AN213+AO213*AP213),2)</f>
        <v>0</v>
      </c>
      <c r="AR213" s="709">
        <f t="shared" si="242"/>
        <v>35718.379999999997</v>
      </c>
      <c r="AS213" s="187"/>
      <c r="AT213" s="711">
        <f t="shared" ref="AT213:AT277" si="260">ROUND((AR213*AS213),2)</f>
        <v>0</v>
      </c>
      <c r="AU213" s="712">
        <f t="shared" ref="AU213:AU277" si="261">AT213+AQ213+AJ213+AC213+X213+Q213+J213</f>
        <v>19922324.740000002</v>
      </c>
      <c r="AV213" s="187"/>
      <c r="AW213" s="709">
        <f t="shared" si="243"/>
        <v>65258.22</v>
      </c>
      <c r="AX213" s="187"/>
      <c r="AY213" s="709">
        <f t="shared" si="244"/>
        <v>81192.94</v>
      </c>
      <c r="AZ213" s="187"/>
      <c r="BA213" s="709">
        <f t="shared" si="245"/>
        <v>77353.2</v>
      </c>
      <c r="BB213" s="187"/>
      <c r="BC213" s="711">
        <f t="shared" ref="BC213:BC277" si="262">ROUND((AW213*AX213+AY213*AZ213+BA213*BB213),2)</f>
        <v>0</v>
      </c>
      <c r="BD213" s="709">
        <f t="shared" si="246"/>
        <v>77787.27</v>
      </c>
      <c r="BE213" s="187"/>
      <c r="BF213" s="709">
        <f t="shared" si="247"/>
        <v>96908.93</v>
      </c>
      <c r="BG213" s="187"/>
      <c r="BH213" s="711">
        <f t="shared" ref="BH213:BH277" si="263">ROUND((BD213*BE213+BF213*BG213),2)</f>
        <v>0</v>
      </c>
      <c r="BI213" s="713">
        <f t="shared" ref="BI213:BI277" si="264">BH213+BC213</f>
        <v>0</v>
      </c>
      <c r="BJ213" s="709">
        <f t="shared" si="248"/>
        <v>25708.01</v>
      </c>
      <c r="BK213" s="187"/>
      <c r="BL213" s="709">
        <f t="shared" si="249"/>
        <v>27763.9</v>
      </c>
      <c r="BM213" s="187"/>
      <c r="BN213" s="709">
        <f t="shared" si="250"/>
        <v>23851.91</v>
      </c>
      <c r="BO213" s="187"/>
      <c r="BP213" s="711">
        <f t="shared" ref="BP213:BP277" si="265">ROUND((BJ213*BK213+BL213*BM213+BN213*BO213),2)</f>
        <v>0</v>
      </c>
      <c r="BQ213" s="709">
        <f t="shared" si="251"/>
        <v>42444.76</v>
      </c>
      <c r="BR213" s="187"/>
      <c r="BS213" s="709">
        <f t="shared" si="252"/>
        <v>46158.78</v>
      </c>
      <c r="BT213" s="187"/>
      <c r="BU213" s="709">
        <f t="shared" si="253"/>
        <v>39091.67</v>
      </c>
      <c r="BV213" s="187"/>
      <c r="BW213" s="1047">
        <f t="shared" ref="BW213:BW277" si="266">ROUND((BQ213*BR213+BS213*BT213+BU213*BV213),2)</f>
        <v>0</v>
      </c>
      <c r="BX213" s="187">
        <f>E213+G213+I213+L213+N213+P213+S213+U213+W213+Z213+AB213+AE213+AG213+AI213+AL213+AN213+AP213+AS213+AX213+AZ213+BB213+BE213+BG213+BK213+BM213+BO213+BR213+BT213+BV213</f>
        <v>530</v>
      </c>
      <c r="BY213" s="117">
        <f>AU213+BI213+BP213+BW213</f>
        <v>19922324.740000002</v>
      </c>
      <c r="BZ213" s="117"/>
    </row>
    <row r="214" spans="1:78" s="116" customFormat="1" ht="16.5">
      <c r="A214" s="376">
        <v>2</v>
      </c>
      <c r="B214" s="377" t="s">
        <v>556</v>
      </c>
      <c r="C214" s="378"/>
      <c r="D214" s="709">
        <f t="shared" si="225"/>
        <v>31250.82</v>
      </c>
      <c r="E214" s="187"/>
      <c r="F214" s="709">
        <f t="shared" si="226"/>
        <v>38535.26</v>
      </c>
      <c r="G214" s="187"/>
      <c r="H214" s="709">
        <f t="shared" si="227"/>
        <v>36779.949999999997</v>
      </c>
      <c r="I214" s="187"/>
      <c r="J214" s="711">
        <f t="shared" si="254"/>
        <v>0</v>
      </c>
      <c r="K214" s="709">
        <f t="shared" si="228"/>
        <v>35546.49</v>
      </c>
      <c r="L214" s="187"/>
      <c r="M214" s="709">
        <f t="shared" si="229"/>
        <v>43923.6</v>
      </c>
      <c r="N214" s="187"/>
      <c r="O214" s="709">
        <f t="shared" si="230"/>
        <v>41904.99</v>
      </c>
      <c r="P214" s="187"/>
      <c r="Q214" s="711">
        <f t="shared" si="255"/>
        <v>0</v>
      </c>
      <c r="R214" s="709">
        <f t="shared" si="231"/>
        <v>41274.050000000003</v>
      </c>
      <c r="S214" s="187">
        <v>336</v>
      </c>
      <c r="T214" s="709">
        <f t="shared" si="232"/>
        <v>51108.05</v>
      </c>
      <c r="U214" s="187">
        <v>380</v>
      </c>
      <c r="V214" s="709">
        <f t="shared" si="233"/>
        <v>48738.38</v>
      </c>
      <c r="W214" s="187">
        <v>109</v>
      </c>
      <c r="X214" s="711">
        <f t="shared" si="256"/>
        <v>38601623.219999999</v>
      </c>
      <c r="Y214" s="709">
        <f t="shared" si="234"/>
        <v>45569.73</v>
      </c>
      <c r="Z214" s="187"/>
      <c r="AA214" s="709">
        <f t="shared" si="235"/>
        <v>56496.39</v>
      </c>
      <c r="AB214" s="187"/>
      <c r="AC214" s="711">
        <f t="shared" si="257"/>
        <v>0</v>
      </c>
      <c r="AD214" s="709">
        <f t="shared" si="236"/>
        <v>54161.08</v>
      </c>
      <c r="AE214" s="187">
        <v>1</v>
      </c>
      <c r="AF214" s="709">
        <f t="shared" si="237"/>
        <v>67273.070000000007</v>
      </c>
      <c r="AG214" s="187">
        <v>1</v>
      </c>
      <c r="AH214" s="709">
        <f t="shared" si="238"/>
        <v>64113.51</v>
      </c>
      <c r="AI214" s="187"/>
      <c r="AJ214" s="711">
        <f t="shared" si="258"/>
        <v>121434.15</v>
      </c>
      <c r="AK214" s="709">
        <f t="shared" si="239"/>
        <v>29360.82</v>
      </c>
      <c r="AL214" s="187"/>
      <c r="AM214" s="709">
        <f t="shared" si="240"/>
        <v>36645.26</v>
      </c>
      <c r="AN214" s="187"/>
      <c r="AO214" s="709">
        <f t="shared" si="241"/>
        <v>34889.949999999997</v>
      </c>
      <c r="AP214" s="187"/>
      <c r="AQ214" s="711">
        <f t="shared" si="259"/>
        <v>0</v>
      </c>
      <c r="AR214" s="709">
        <f t="shared" si="242"/>
        <v>35718.379999999997</v>
      </c>
      <c r="AS214" s="187"/>
      <c r="AT214" s="711">
        <f t="shared" si="260"/>
        <v>0</v>
      </c>
      <c r="AU214" s="712">
        <f t="shared" si="261"/>
        <v>38723057.369999997</v>
      </c>
      <c r="AV214" s="187"/>
      <c r="AW214" s="709">
        <f t="shared" si="243"/>
        <v>65258.22</v>
      </c>
      <c r="AX214" s="187"/>
      <c r="AY214" s="709">
        <f t="shared" si="244"/>
        <v>81192.94</v>
      </c>
      <c r="AZ214" s="187"/>
      <c r="BA214" s="709">
        <f t="shared" si="245"/>
        <v>77353.2</v>
      </c>
      <c r="BB214" s="187"/>
      <c r="BC214" s="711">
        <f t="shared" si="262"/>
        <v>0</v>
      </c>
      <c r="BD214" s="709">
        <f t="shared" si="246"/>
        <v>77787.27</v>
      </c>
      <c r="BE214" s="187"/>
      <c r="BF214" s="709">
        <f t="shared" si="247"/>
        <v>96908.93</v>
      </c>
      <c r="BG214" s="187"/>
      <c r="BH214" s="711">
        <f t="shared" si="263"/>
        <v>0</v>
      </c>
      <c r="BI214" s="713">
        <f t="shared" si="264"/>
        <v>0</v>
      </c>
      <c r="BJ214" s="709">
        <f t="shared" si="248"/>
        <v>25708.01</v>
      </c>
      <c r="BK214" s="187"/>
      <c r="BL214" s="709">
        <f t="shared" si="249"/>
        <v>27763.9</v>
      </c>
      <c r="BM214" s="187"/>
      <c r="BN214" s="709">
        <f t="shared" si="250"/>
        <v>23851.91</v>
      </c>
      <c r="BO214" s="187"/>
      <c r="BP214" s="711">
        <f t="shared" si="265"/>
        <v>0</v>
      </c>
      <c r="BQ214" s="709">
        <f t="shared" si="251"/>
        <v>42444.76</v>
      </c>
      <c r="BR214" s="187"/>
      <c r="BS214" s="709">
        <f t="shared" si="252"/>
        <v>46158.78</v>
      </c>
      <c r="BT214" s="187"/>
      <c r="BU214" s="709">
        <f t="shared" si="253"/>
        <v>39091.67</v>
      </c>
      <c r="BV214" s="187"/>
      <c r="BW214" s="1047">
        <f t="shared" si="266"/>
        <v>0</v>
      </c>
      <c r="BX214" s="187">
        <f t="shared" ref="BX214:BX278" si="267">E214+G214+I214+L214+N214+P214+S214+U214+W214+Z214+AB214+AE214+AG214+AI214+AL214+AN214+AP214+AS214+AX214+AZ214+BB214+BE214+BG214+BK214+BM214+BO214+BR214+BT214+BV214</f>
        <v>827</v>
      </c>
      <c r="BY214" s="117">
        <f t="shared" ref="BY214:BY277" si="268">AU214+BI214+BP214+BW214</f>
        <v>38723057.369999997</v>
      </c>
      <c r="BZ214" s="117"/>
    </row>
    <row r="215" spans="1:78" s="116" customFormat="1" ht="16.5">
      <c r="A215" s="376">
        <v>3</v>
      </c>
      <c r="B215" s="377" t="s">
        <v>557</v>
      </c>
      <c r="C215" s="378"/>
      <c r="D215" s="709">
        <f t="shared" si="225"/>
        <v>31250.82</v>
      </c>
      <c r="E215" s="187">
        <v>104</v>
      </c>
      <c r="F215" s="709">
        <f t="shared" si="226"/>
        <v>38535.26</v>
      </c>
      <c r="G215" s="187">
        <v>115</v>
      </c>
      <c r="H215" s="709">
        <f t="shared" si="227"/>
        <v>36779.949999999997</v>
      </c>
      <c r="I215" s="187">
        <v>40</v>
      </c>
      <c r="J215" s="711">
        <f t="shared" si="254"/>
        <v>9152838.1799999997</v>
      </c>
      <c r="K215" s="709">
        <f t="shared" si="228"/>
        <v>35546.49</v>
      </c>
      <c r="L215" s="187">
        <v>225</v>
      </c>
      <c r="M215" s="709">
        <f t="shared" si="229"/>
        <v>43923.6</v>
      </c>
      <c r="N215" s="187">
        <v>275</v>
      </c>
      <c r="O215" s="709">
        <f t="shared" si="230"/>
        <v>41904.99</v>
      </c>
      <c r="P215" s="187">
        <v>96</v>
      </c>
      <c r="Q215" s="711">
        <f t="shared" si="255"/>
        <v>24099829.289999999</v>
      </c>
      <c r="R215" s="709">
        <f t="shared" si="231"/>
        <v>41274.050000000003</v>
      </c>
      <c r="S215" s="187"/>
      <c r="T215" s="709">
        <f t="shared" si="232"/>
        <v>51108.05</v>
      </c>
      <c r="U215" s="187"/>
      <c r="V215" s="709">
        <f t="shared" si="233"/>
        <v>48738.38</v>
      </c>
      <c r="W215" s="187"/>
      <c r="X215" s="711">
        <f t="shared" si="256"/>
        <v>0</v>
      </c>
      <c r="Y215" s="709">
        <f t="shared" si="234"/>
        <v>45569.73</v>
      </c>
      <c r="Z215" s="187"/>
      <c r="AA215" s="709">
        <f t="shared" si="235"/>
        <v>56496.39</v>
      </c>
      <c r="AB215" s="187"/>
      <c r="AC215" s="711">
        <f t="shared" si="257"/>
        <v>0</v>
      </c>
      <c r="AD215" s="709">
        <f t="shared" si="236"/>
        <v>54161.08</v>
      </c>
      <c r="AE215" s="187"/>
      <c r="AF215" s="709">
        <f t="shared" si="237"/>
        <v>67273.070000000007</v>
      </c>
      <c r="AG215" s="187">
        <v>2</v>
      </c>
      <c r="AH215" s="709">
        <f t="shared" si="238"/>
        <v>64113.51</v>
      </c>
      <c r="AI215" s="187">
        <v>2</v>
      </c>
      <c r="AJ215" s="711">
        <f t="shared" si="258"/>
        <v>262773.15999999997</v>
      </c>
      <c r="AK215" s="709">
        <f t="shared" si="239"/>
        <v>29360.82</v>
      </c>
      <c r="AL215" s="187"/>
      <c r="AM215" s="709">
        <f t="shared" si="240"/>
        <v>36645.26</v>
      </c>
      <c r="AN215" s="187"/>
      <c r="AO215" s="709">
        <f t="shared" si="241"/>
        <v>34889.949999999997</v>
      </c>
      <c r="AP215" s="187"/>
      <c r="AQ215" s="711">
        <f t="shared" si="259"/>
        <v>0</v>
      </c>
      <c r="AR215" s="709">
        <f t="shared" si="242"/>
        <v>35718.379999999997</v>
      </c>
      <c r="AS215" s="187"/>
      <c r="AT215" s="711">
        <f t="shared" si="260"/>
        <v>0</v>
      </c>
      <c r="AU215" s="712">
        <f t="shared" si="261"/>
        <v>33515440.629999999</v>
      </c>
      <c r="AV215" s="187"/>
      <c r="AW215" s="709">
        <f t="shared" si="243"/>
        <v>65258.22</v>
      </c>
      <c r="AX215" s="187"/>
      <c r="AY215" s="709">
        <f t="shared" si="244"/>
        <v>81192.94</v>
      </c>
      <c r="AZ215" s="187"/>
      <c r="BA215" s="709">
        <f t="shared" si="245"/>
        <v>77353.2</v>
      </c>
      <c r="BB215" s="187"/>
      <c r="BC215" s="711">
        <f t="shared" si="262"/>
        <v>0</v>
      </c>
      <c r="BD215" s="709">
        <f t="shared" si="246"/>
        <v>77787.27</v>
      </c>
      <c r="BE215" s="187"/>
      <c r="BF215" s="709">
        <f t="shared" si="247"/>
        <v>96908.93</v>
      </c>
      <c r="BG215" s="187"/>
      <c r="BH215" s="711">
        <f t="shared" si="263"/>
        <v>0</v>
      </c>
      <c r="BI215" s="713">
        <f t="shared" si="264"/>
        <v>0</v>
      </c>
      <c r="BJ215" s="709">
        <f t="shared" si="248"/>
        <v>25708.01</v>
      </c>
      <c r="BK215" s="187"/>
      <c r="BL215" s="709">
        <f t="shared" si="249"/>
        <v>27763.9</v>
      </c>
      <c r="BM215" s="187"/>
      <c r="BN215" s="709">
        <f t="shared" si="250"/>
        <v>23851.91</v>
      </c>
      <c r="BO215" s="187"/>
      <c r="BP215" s="711">
        <f t="shared" si="265"/>
        <v>0</v>
      </c>
      <c r="BQ215" s="709">
        <f t="shared" si="251"/>
        <v>42444.76</v>
      </c>
      <c r="BR215" s="187"/>
      <c r="BS215" s="709">
        <f t="shared" si="252"/>
        <v>46158.78</v>
      </c>
      <c r="BT215" s="187"/>
      <c r="BU215" s="709">
        <f t="shared" si="253"/>
        <v>39091.67</v>
      </c>
      <c r="BV215" s="187"/>
      <c r="BW215" s="1047">
        <f t="shared" si="266"/>
        <v>0</v>
      </c>
      <c r="BX215" s="187">
        <f t="shared" si="267"/>
        <v>859</v>
      </c>
      <c r="BY215" s="117">
        <f t="shared" si="268"/>
        <v>33515440.629999999</v>
      </c>
      <c r="BZ215" s="117"/>
    </row>
    <row r="216" spans="1:78" s="116" customFormat="1" ht="16.5">
      <c r="A216" s="376">
        <v>4</v>
      </c>
      <c r="B216" s="377" t="s">
        <v>558</v>
      </c>
      <c r="C216" s="378"/>
      <c r="D216" s="709">
        <f t="shared" si="225"/>
        <v>31250.82</v>
      </c>
      <c r="E216" s="187"/>
      <c r="F216" s="709">
        <f t="shared" si="226"/>
        <v>38535.26</v>
      </c>
      <c r="G216" s="187"/>
      <c r="H216" s="709">
        <f t="shared" si="227"/>
        <v>36779.949999999997</v>
      </c>
      <c r="I216" s="187"/>
      <c r="J216" s="711">
        <f t="shared" si="254"/>
        <v>0</v>
      </c>
      <c r="K216" s="709">
        <f t="shared" si="228"/>
        <v>35546.49</v>
      </c>
      <c r="L216" s="187"/>
      <c r="M216" s="709">
        <f t="shared" si="229"/>
        <v>43923.6</v>
      </c>
      <c r="N216" s="187"/>
      <c r="O216" s="709">
        <f t="shared" si="230"/>
        <v>41904.99</v>
      </c>
      <c r="P216" s="187"/>
      <c r="Q216" s="711">
        <f t="shared" si="255"/>
        <v>0</v>
      </c>
      <c r="R216" s="709">
        <f t="shared" si="231"/>
        <v>41274.050000000003</v>
      </c>
      <c r="S216" s="187">
        <v>251</v>
      </c>
      <c r="T216" s="709">
        <f t="shared" si="232"/>
        <v>51108.05</v>
      </c>
      <c r="U216" s="187">
        <v>298</v>
      </c>
      <c r="V216" s="709">
        <f t="shared" si="233"/>
        <v>48738.38</v>
      </c>
      <c r="W216" s="187">
        <v>107</v>
      </c>
      <c r="X216" s="711">
        <f t="shared" si="256"/>
        <v>30804992.109999999</v>
      </c>
      <c r="Y216" s="709">
        <f t="shared" si="234"/>
        <v>45569.73</v>
      </c>
      <c r="Z216" s="187"/>
      <c r="AA216" s="709">
        <f t="shared" si="235"/>
        <v>56496.39</v>
      </c>
      <c r="AB216" s="187"/>
      <c r="AC216" s="711">
        <f t="shared" si="257"/>
        <v>0</v>
      </c>
      <c r="AD216" s="709">
        <f t="shared" si="236"/>
        <v>54161.08</v>
      </c>
      <c r="AE216" s="187"/>
      <c r="AF216" s="709">
        <f t="shared" si="237"/>
        <v>67273.070000000007</v>
      </c>
      <c r="AG216" s="187"/>
      <c r="AH216" s="709">
        <f t="shared" si="238"/>
        <v>64113.51</v>
      </c>
      <c r="AI216" s="187"/>
      <c r="AJ216" s="711">
        <f t="shared" si="258"/>
        <v>0</v>
      </c>
      <c r="AK216" s="709">
        <f t="shared" si="239"/>
        <v>29360.82</v>
      </c>
      <c r="AL216" s="187"/>
      <c r="AM216" s="709">
        <f t="shared" si="240"/>
        <v>36645.26</v>
      </c>
      <c r="AN216" s="187"/>
      <c r="AO216" s="709">
        <f t="shared" si="241"/>
        <v>34889.949999999997</v>
      </c>
      <c r="AP216" s="187"/>
      <c r="AQ216" s="711">
        <f t="shared" si="259"/>
        <v>0</v>
      </c>
      <c r="AR216" s="709">
        <f t="shared" si="242"/>
        <v>35718.379999999997</v>
      </c>
      <c r="AS216" s="187"/>
      <c r="AT216" s="711">
        <f t="shared" si="260"/>
        <v>0</v>
      </c>
      <c r="AU216" s="712">
        <f t="shared" si="261"/>
        <v>30804992.109999999</v>
      </c>
      <c r="AV216" s="187"/>
      <c r="AW216" s="709">
        <f t="shared" si="243"/>
        <v>65258.22</v>
      </c>
      <c r="AX216" s="187"/>
      <c r="AY216" s="709">
        <f t="shared" si="244"/>
        <v>81192.94</v>
      </c>
      <c r="AZ216" s="187"/>
      <c r="BA216" s="709">
        <f t="shared" si="245"/>
        <v>77353.2</v>
      </c>
      <c r="BB216" s="187"/>
      <c r="BC216" s="711">
        <f t="shared" si="262"/>
        <v>0</v>
      </c>
      <c r="BD216" s="709">
        <f t="shared" si="246"/>
        <v>77787.27</v>
      </c>
      <c r="BE216" s="187"/>
      <c r="BF216" s="709">
        <f t="shared" si="247"/>
        <v>96908.93</v>
      </c>
      <c r="BG216" s="187"/>
      <c r="BH216" s="711">
        <f t="shared" si="263"/>
        <v>0</v>
      </c>
      <c r="BI216" s="713">
        <f t="shared" si="264"/>
        <v>0</v>
      </c>
      <c r="BJ216" s="709">
        <f t="shared" si="248"/>
        <v>25708.01</v>
      </c>
      <c r="BK216" s="187"/>
      <c r="BL216" s="709">
        <f t="shared" si="249"/>
        <v>27763.9</v>
      </c>
      <c r="BM216" s="187"/>
      <c r="BN216" s="709">
        <f t="shared" si="250"/>
        <v>23851.91</v>
      </c>
      <c r="BO216" s="187"/>
      <c r="BP216" s="711">
        <f t="shared" si="265"/>
        <v>0</v>
      </c>
      <c r="BQ216" s="709">
        <f t="shared" si="251"/>
        <v>42444.76</v>
      </c>
      <c r="BR216" s="187"/>
      <c r="BS216" s="709">
        <f t="shared" si="252"/>
        <v>46158.78</v>
      </c>
      <c r="BT216" s="187"/>
      <c r="BU216" s="709">
        <f t="shared" si="253"/>
        <v>39091.67</v>
      </c>
      <c r="BV216" s="187"/>
      <c r="BW216" s="1047">
        <f t="shared" si="266"/>
        <v>0</v>
      </c>
      <c r="BX216" s="187">
        <f t="shared" si="267"/>
        <v>656</v>
      </c>
      <c r="BY216" s="117">
        <f t="shared" si="268"/>
        <v>30804992.109999999</v>
      </c>
      <c r="BZ216" s="117"/>
    </row>
    <row r="217" spans="1:78" s="116" customFormat="1" ht="16.5">
      <c r="A217" s="376">
        <v>5</v>
      </c>
      <c r="B217" s="377" t="s">
        <v>559</v>
      </c>
      <c r="C217" s="378"/>
      <c r="D217" s="709">
        <f t="shared" si="225"/>
        <v>31250.82</v>
      </c>
      <c r="E217" s="187"/>
      <c r="F217" s="709">
        <f t="shared" si="226"/>
        <v>38535.26</v>
      </c>
      <c r="G217" s="187"/>
      <c r="H217" s="709">
        <f t="shared" si="227"/>
        <v>36779.949999999997</v>
      </c>
      <c r="I217" s="187"/>
      <c r="J217" s="711">
        <f t="shared" si="254"/>
        <v>0</v>
      </c>
      <c r="K217" s="709">
        <f t="shared" si="228"/>
        <v>35546.49</v>
      </c>
      <c r="L217" s="187"/>
      <c r="M217" s="709">
        <f t="shared" si="229"/>
        <v>43923.6</v>
      </c>
      <c r="N217" s="187"/>
      <c r="O217" s="709">
        <f t="shared" si="230"/>
        <v>41904.99</v>
      </c>
      <c r="P217" s="187"/>
      <c r="Q217" s="711">
        <f t="shared" si="255"/>
        <v>0</v>
      </c>
      <c r="R217" s="709">
        <f t="shared" si="231"/>
        <v>41274.050000000003</v>
      </c>
      <c r="S217" s="187">
        <v>342</v>
      </c>
      <c r="T217" s="709">
        <f t="shared" si="232"/>
        <v>51108.05</v>
      </c>
      <c r="U217" s="187">
        <v>373</v>
      </c>
      <c r="V217" s="709">
        <f t="shared" si="233"/>
        <v>48738.38</v>
      </c>
      <c r="W217" s="187">
        <v>117</v>
      </c>
      <c r="X217" s="711">
        <f t="shared" si="256"/>
        <v>38881418.210000001</v>
      </c>
      <c r="Y217" s="709">
        <f t="shared" si="234"/>
        <v>45569.73</v>
      </c>
      <c r="Z217" s="187"/>
      <c r="AA217" s="709">
        <f t="shared" si="235"/>
        <v>56496.39</v>
      </c>
      <c r="AB217" s="187"/>
      <c r="AC217" s="711">
        <f t="shared" si="257"/>
        <v>0</v>
      </c>
      <c r="AD217" s="709">
        <f t="shared" si="236"/>
        <v>54161.08</v>
      </c>
      <c r="AE217" s="187"/>
      <c r="AF217" s="709">
        <f t="shared" si="237"/>
        <v>67273.070000000007</v>
      </c>
      <c r="AG217" s="187"/>
      <c r="AH217" s="709">
        <f t="shared" si="238"/>
        <v>64113.51</v>
      </c>
      <c r="AI217" s="187"/>
      <c r="AJ217" s="711">
        <f t="shared" si="258"/>
        <v>0</v>
      </c>
      <c r="AK217" s="709">
        <f t="shared" si="239"/>
        <v>29360.82</v>
      </c>
      <c r="AL217" s="187"/>
      <c r="AM217" s="709">
        <f t="shared" si="240"/>
        <v>36645.26</v>
      </c>
      <c r="AN217" s="187"/>
      <c r="AO217" s="709">
        <f t="shared" si="241"/>
        <v>34889.949999999997</v>
      </c>
      <c r="AP217" s="187"/>
      <c r="AQ217" s="711">
        <f t="shared" si="259"/>
        <v>0</v>
      </c>
      <c r="AR217" s="709">
        <f t="shared" si="242"/>
        <v>35718.379999999997</v>
      </c>
      <c r="AS217" s="187"/>
      <c r="AT217" s="711">
        <f t="shared" si="260"/>
        <v>0</v>
      </c>
      <c r="AU217" s="712">
        <f t="shared" si="261"/>
        <v>38881418.210000001</v>
      </c>
      <c r="AV217" s="187"/>
      <c r="AW217" s="709">
        <f t="shared" si="243"/>
        <v>65258.22</v>
      </c>
      <c r="AX217" s="187"/>
      <c r="AY217" s="709">
        <f t="shared" si="244"/>
        <v>81192.94</v>
      </c>
      <c r="AZ217" s="187"/>
      <c r="BA217" s="709">
        <f t="shared" si="245"/>
        <v>77353.2</v>
      </c>
      <c r="BB217" s="187"/>
      <c r="BC217" s="711">
        <f t="shared" si="262"/>
        <v>0</v>
      </c>
      <c r="BD217" s="709">
        <f t="shared" si="246"/>
        <v>77787.27</v>
      </c>
      <c r="BE217" s="187"/>
      <c r="BF217" s="709">
        <f t="shared" si="247"/>
        <v>96908.93</v>
      </c>
      <c r="BG217" s="187"/>
      <c r="BH217" s="711">
        <f t="shared" si="263"/>
        <v>0</v>
      </c>
      <c r="BI217" s="713">
        <f t="shared" si="264"/>
        <v>0</v>
      </c>
      <c r="BJ217" s="709">
        <f t="shared" si="248"/>
        <v>25708.01</v>
      </c>
      <c r="BK217" s="187"/>
      <c r="BL217" s="709">
        <f t="shared" si="249"/>
        <v>27763.9</v>
      </c>
      <c r="BM217" s="187"/>
      <c r="BN217" s="709">
        <f t="shared" si="250"/>
        <v>23851.91</v>
      </c>
      <c r="BO217" s="187"/>
      <c r="BP217" s="711">
        <f t="shared" si="265"/>
        <v>0</v>
      </c>
      <c r="BQ217" s="709">
        <f t="shared" si="251"/>
        <v>42444.76</v>
      </c>
      <c r="BR217" s="187"/>
      <c r="BS217" s="709">
        <f t="shared" si="252"/>
        <v>46158.78</v>
      </c>
      <c r="BT217" s="187"/>
      <c r="BU217" s="709">
        <f t="shared" si="253"/>
        <v>39091.67</v>
      </c>
      <c r="BV217" s="187"/>
      <c r="BW217" s="1047">
        <f t="shared" si="266"/>
        <v>0</v>
      </c>
      <c r="BX217" s="187">
        <f t="shared" si="267"/>
        <v>832</v>
      </c>
      <c r="BY217" s="117">
        <f t="shared" si="268"/>
        <v>38881418.210000001</v>
      </c>
      <c r="BZ217" s="117"/>
    </row>
    <row r="218" spans="1:78" s="116" customFormat="1" ht="16.5">
      <c r="A218" s="376">
        <v>6</v>
      </c>
      <c r="B218" s="377" t="s">
        <v>560</v>
      </c>
      <c r="C218" s="378"/>
      <c r="D218" s="709">
        <f t="shared" si="225"/>
        <v>31250.82</v>
      </c>
      <c r="E218" s="187">
        <v>52</v>
      </c>
      <c r="F218" s="709">
        <f t="shared" si="226"/>
        <v>38535.26</v>
      </c>
      <c r="G218" s="187"/>
      <c r="H218" s="709">
        <f t="shared" si="227"/>
        <v>36779.949999999997</v>
      </c>
      <c r="I218" s="187"/>
      <c r="J218" s="711">
        <f t="shared" si="254"/>
        <v>1625042.64</v>
      </c>
      <c r="K218" s="709">
        <f t="shared" si="228"/>
        <v>35546.49</v>
      </c>
      <c r="L218" s="187">
        <v>142</v>
      </c>
      <c r="M218" s="709">
        <f t="shared" si="229"/>
        <v>43923.6</v>
      </c>
      <c r="N218" s="187">
        <v>248</v>
      </c>
      <c r="O218" s="709">
        <f t="shared" si="230"/>
        <v>41904.99</v>
      </c>
      <c r="P218" s="187">
        <v>70</v>
      </c>
      <c r="Q218" s="711">
        <f t="shared" si="255"/>
        <v>18874003.68</v>
      </c>
      <c r="R218" s="709">
        <f t="shared" si="231"/>
        <v>41274.050000000003</v>
      </c>
      <c r="S218" s="187"/>
      <c r="T218" s="709">
        <f t="shared" si="232"/>
        <v>51108.05</v>
      </c>
      <c r="U218" s="187"/>
      <c r="V218" s="709">
        <f t="shared" si="233"/>
        <v>48738.38</v>
      </c>
      <c r="W218" s="187"/>
      <c r="X218" s="711">
        <f t="shared" si="256"/>
        <v>0</v>
      </c>
      <c r="Y218" s="709">
        <f t="shared" si="234"/>
        <v>45569.73</v>
      </c>
      <c r="Z218" s="187"/>
      <c r="AA218" s="709">
        <f t="shared" si="235"/>
        <v>56496.39</v>
      </c>
      <c r="AB218" s="187"/>
      <c r="AC218" s="711">
        <f t="shared" si="257"/>
        <v>0</v>
      </c>
      <c r="AD218" s="709">
        <f t="shared" si="236"/>
        <v>54161.08</v>
      </c>
      <c r="AE218" s="187"/>
      <c r="AF218" s="709">
        <f t="shared" si="237"/>
        <v>67273.070000000007</v>
      </c>
      <c r="AG218" s="187">
        <v>9</v>
      </c>
      <c r="AH218" s="709">
        <f t="shared" si="238"/>
        <v>64113.51</v>
      </c>
      <c r="AI218" s="187">
        <v>2</v>
      </c>
      <c r="AJ218" s="711">
        <f t="shared" si="258"/>
        <v>733684.65</v>
      </c>
      <c r="AK218" s="709">
        <f t="shared" si="239"/>
        <v>29360.82</v>
      </c>
      <c r="AL218" s="187"/>
      <c r="AM218" s="709">
        <f t="shared" si="240"/>
        <v>36645.26</v>
      </c>
      <c r="AN218" s="187"/>
      <c r="AO218" s="709">
        <f t="shared" si="241"/>
        <v>34889.949999999997</v>
      </c>
      <c r="AP218" s="187"/>
      <c r="AQ218" s="711">
        <f t="shared" si="259"/>
        <v>0</v>
      </c>
      <c r="AR218" s="709">
        <f t="shared" si="242"/>
        <v>35718.379999999997</v>
      </c>
      <c r="AS218" s="187"/>
      <c r="AT218" s="711">
        <f t="shared" si="260"/>
        <v>0</v>
      </c>
      <c r="AU218" s="712">
        <f t="shared" si="261"/>
        <v>21232730.969999999</v>
      </c>
      <c r="AV218" s="187"/>
      <c r="AW218" s="709">
        <f t="shared" si="243"/>
        <v>65258.22</v>
      </c>
      <c r="AX218" s="187"/>
      <c r="AY218" s="709">
        <f t="shared" si="244"/>
        <v>81192.94</v>
      </c>
      <c r="AZ218" s="187"/>
      <c r="BA218" s="709">
        <f t="shared" si="245"/>
        <v>77353.2</v>
      </c>
      <c r="BB218" s="187"/>
      <c r="BC218" s="711">
        <f t="shared" si="262"/>
        <v>0</v>
      </c>
      <c r="BD218" s="709">
        <f t="shared" si="246"/>
        <v>77787.27</v>
      </c>
      <c r="BE218" s="187"/>
      <c r="BF218" s="709">
        <f t="shared" si="247"/>
        <v>96908.93</v>
      </c>
      <c r="BG218" s="187"/>
      <c r="BH218" s="711">
        <f t="shared" si="263"/>
        <v>0</v>
      </c>
      <c r="BI218" s="713">
        <f t="shared" si="264"/>
        <v>0</v>
      </c>
      <c r="BJ218" s="709">
        <f t="shared" si="248"/>
        <v>25708.01</v>
      </c>
      <c r="BK218" s="187"/>
      <c r="BL218" s="709">
        <f t="shared" si="249"/>
        <v>27763.9</v>
      </c>
      <c r="BM218" s="187"/>
      <c r="BN218" s="709">
        <f t="shared" si="250"/>
        <v>23851.91</v>
      </c>
      <c r="BO218" s="187"/>
      <c r="BP218" s="711">
        <f t="shared" si="265"/>
        <v>0</v>
      </c>
      <c r="BQ218" s="709">
        <f t="shared" si="251"/>
        <v>42444.76</v>
      </c>
      <c r="BR218" s="187"/>
      <c r="BS218" s="709">
        <f t="shared" si="252"/>
        <v>46158.78</v>
      </c>
      <c r="BT218" s="187"/>
      <c r="BU218" s="709">
        <f t="shared" si="253"/>
        <v>39091.67</v>
      </c>
      <c r="BV218" s="187"/>
      <c r="BW218" s="1047">
        <f t="shared" si="266"/>
        <v>0</v>
      </c>
      <c r="BX218" s="187">
        <f t="shared" si="267"/>
        <v>523</v>
      </c>
      <c r="BY218" s="117">
        <f t="shared" si="268"/>
        <v>21232730.969999999</v>
      </c>
      <c r="BZ218" s="117"/>
    </row>
    <row r="219" spans="1:78" s="116" customFormat="1" ht="16.5">
      <c r="A219" s="376">
        <v>7</v>
      </c>
      <c r="B219" s="377" t="s">
        <v>561</v>
      </c>
      <c r="C219" s="378"/>
      <c r="D219" s="709">
        <f t="shared" si="225"/>
        <v>31250.82</v>
      </c>
      <c r="E219" s="187">
        <v>337</v>
      </c>
      <c r="F219" s="709">
        <f t="shared" si="226"/>
        <v>38535.26</v>
      </c>
      <c r="G219" s="187">
        <v>377</v>
      </c>
      <c r="H219" s="709">
        <f t="shared" si="227"/>
        <v>36779.949999999997</v>
      </c>
      <c r="I219" s="187">
        <v>95</v>
      </c>
      <c r="J219" s="711">
        <f t="shared" si="254"/>
        <v>28553414.609999999</v>
      </c>
      <c r="K219" s="709">
        <f t="shared" si="228"/>
        <v>35546.49</v>
      </c>
      <c r="L219" s="187"/>
      <c r="M219" s="709">
        <f t="shared" si="229"/>
        <v>43923.6</v>
      </c>
      <c r="N219" s="187"/>
      <c r="O219" s="709">
        <f t="shared" si="230"/>
        <v>41904.99</v>
      </c>
      <c r="P219" s="187"/>
      <c r="Q219" s="711">
        <f t="shared" si="255"/>
        <v>0</v>
      </c>
      <c r="R219" s="709">
        <f t="shared" si="231"/>
        <v>41274.050000000003</v>
      </c>
      <c r="S219" s="187"/>
      <c r="T219" s="709">
        <f t="shared" si="232"/>
        <v>51108.05</v>
      </c>
      <c r="U219" s="187"/>
      <c r="V219" s="709">
        <f t="shared" si="233"/>
        <v>48738.38</v>
      </c>
      <c r="W219" s="187"/>
      <c r="X219" s="711">
        <f t="shared" si="256"/>
        <v>0</v>
      </c>
      <c r="Y219" s="709">
        <f t="shared" si="234"/>
        <v>45569.73</v>
      </c>
      <c r="Z219" s="187"/>
      <c r="AA219" s="709">
        <f t="shared" si="235"/>
        <v>56496.39</v>
      </c>
      <c r="AB219" s="187"/>
      <c r="AC219" s="711">
        <f t="shared" si="257"/>
        <v>0</v>
      </c>
      <c r="AD219" s="709">
        <f t="shared" si="236"/>
        <v>54161.08</v>
      </c>
      <c r="AE219" s="187">
        <v>3</v>
      </c>
      <c r="AF219" s="709">
        <f t="shared" si="237"/>
        <v>67273.070000000007</v>
      </c>
      <c r="AG219" s="187">
        <v>7</v>
      </c>
      <c r="AH219" s="709">
        <f t="shared" si="238"/>
        <v>64113.51</v>
      </c>
      <c r="AI219" s="187">
        <v>2</v>
      </c>
      <c r="AJ219" s="711">
        <f t="shared" si="258"/>
        <v>761621.75</v>
      </c>
      <c r="AK219" s="709">
        <f t="shared" si="239"/>
        <v>29360.82</v>
      </c>
      <c r="AL219" s="187"/>
      <c r="AM219" s="709">
        <f t="shared" si="240"/>
        <v>36645.26</v>
      </c>
      <c r="AN219" s="187"/>
      <c r="AO219" s="709">
        <f t="shared" si="241"/>
        <v>34889.949999999997</v>
      </c>
      <c r="AP219" s="187"/>
      <c r="AQ219" s="711">
        <f t="shared" si="259"/>
        <v>0</v>
      </c>
      <c r="AR219" s="709">
        <f t="shared" si="242"/>
        <v>35718.379999999997</v>
      </c>
      <c r="AS219" s="187"/>
      <c r="AT219" s="711">
        <f t="shared" si="260"/>
        <v>0</v>
      </c>
      <c r="AU219" s="712">
        <f t="shared" si="261"/>
        <v>29315036.359999999</v>
      </c>
      <c r="AV219" s="187"/>
      <c r="AW219" s="709">
        <f t="shared" si="243"/>
        <v>65258.22</v>
      </c>
      <c r="AX219" s="187"/>
      <c r="AY219" s="709">
        <f t="shared" si="244"/>
        <v>81192.94</v>
      </c>
      <c r="AZ219" s="187"/>
      <c r="BA219" s="709">
        <f t="shared" si="245"/>
        <v>77353.2</v>
      </c>
      <c r="BB219" s="187"/>
      <c r="BC219" s="711">
        <f t="shared" si="262"/>
        <v>0</v>
      </c>
      <c r="BD219" s="709">
        <f t="shared" si="246"/>
        <v>77787.27</v>
      </c>
      <c r="BE219" s="187"/>
      <c r="BF219" s="709">
        <f t="shared" si="247"/>
        <v>96908.93</v>
      </c>
      <c r="BG219" s="187"/>
      <c r="BH219" s="711">
        <f t="shared" si="263"/>
        <v>0</v>
      </c>
      <c r="BI219" s="713">
        <f t="shared" si="264"/>
        <v>0</v>
      </c>
      <c r="BJ219" s="709">
        <f t="shared" si="248"/>
        <v>25708.01</v>
      </c>
      <c r="BK219" s="187"/>
      <c r="BL219" s="709">
        <f t="shared" si="249"/>
        <v>27763.9</v>
      </c>
      <c r="BM219" s="187"/>
      <c r="BN219" s="709">
        <f t="shared" si="250"/>
        <v>23851.91</v>
      </c>
      <c r="BO219" s="187"/>
      <c r="BP219" s="711">
        <f t="shared" si="265"/>
        <v>0</v>
      </c>
      <c r="BQ219" s="709">
        <f t="shared" si="251"/>
        <v>42444.76</v>
      </c>
      <c r="BR219" s="187"/>
      <c r="BS219" s="709">
        <f t="shared" si="252"/>
        <v>46158.78</v>
      </c>
      <c r="BT219" s="187"/>
      <c r="BU219" s="709">
        <f t="shared" si="253"/>
        <v>39091.67</v>
      </c>
      <c r="BV219" s="187"/>
      <c r="BW219" s="1047">
        <f t="shared" si="266"/>
        <v>0</v>
      </c>
      <c r="BX219" s="187">
        <f t="shared" si="267"/>
        <v>821</v>
      </c>
      <c r="BY219" s="117">
        <f t="shared" si="268"/>
        <v>29315036.359999999</v>
      </c>
      <c r="BZ219" s="117"/>
    </row>
    <row r="220" spans="1:78" s="116" customFormat="1" ht="16.5">
      <c r="A220" s="376">
        <v>8</v>
      </c>
      <c r="B220" s="377" t="s">
        <v>562</v>
      </c>
      <c r="C220" s="378"/>
      <c r="D220" s="709">
        <f t="shared" si="225"/>
        <v>31250.82</v>
      </c>
      <c r="E220" s="187">
        <v>235</v>
      </c>
      <c r="F220" s="709">
        <f t="shared" si="226"/>
        <v>38535.26</v>
      </c>
      <c r="G220" s="187">
        <v>224</v>
      </c>
      <c r="H220" s="709">
        <f t="shared" si="227"/>
        <v>36779.949999999997</v>
      </c>
      <c r="I220" s="187">
        <v>19</v>
      </c>
      <c r="J220" s="711">
        <f t="shared" si="254"/>
        <v>16674659.99</v>
      </c>
      <c r="K220" s="709">
        <f t="shared" si="228"/>
        <v>35546.49</v>
      </c>
      <c r="L220" s="187"/>
      <c r="M220" s="709">
        <f t="shared" si="229"/>
        <v>43923.6</v>
      </c>
      <c r="N220" s="187">
        <v>22</v>
      </c>
      <c r="O220" s="709">
        <f t="shared" si="230"/>
        <v>41904.99</v>
      </c>
      <c r="P220" s="187">
        <v>26</v>
      </c>
      <c r="Q220" s="711">
        <f t="shared" si="255"/>
        <v>2055848.94</v>
      </c>
      <c r="R220" s="709">
        <f t="shared" si="231"/>
        <v>41274.050000000003</v>
      </c>
      <c r="S220" s="187"/>
      <c r="T220" s="709">
        <f t="shared" si="232"/>
        <v>51108.05</v>
      </c>
      <c r="U220" s="187"/>
      <c r="V220" s="709">
        <f t="shared" si="233"/>
        <v>48738.38</v>
      </c>
      <c r="W220" s="187"/>
      <c r="X220" s="711">
        <f t="shared" si="256"/>
        <v>0</v>
      </c>
      <c r="Y220" s="709">
        <f t="shared" si="234"/>
        <v>45569.73</v>
      </c>
      <c r="Z220" s="187"/>
      <c r="AA220" s="709">
        <f t="shared" si="235"/>
        <v>56496.39</v>
      </c>
      <c r="AB220" s="187"/>
      <c r="AC220" s="711">
        <f t="shared" si="257"/>
        <v>0</v>
      </c>
      <c r="AD220" s="709">
        <f t="shared" si="236"/>
        <v>54161.08</v>
      </c>
      <c r="AE220" s="187">
        <v>2</v>
      </c>
      <c r="AF220" s="709">
        <f t="shared" si="237"/>
        <v>67273.070000000007</v>
      </c>
      <c r="AG220" s="187">
        <v>8</v>
      </c>
      <c r="AH220" s="709">
        <f t="shared" si="238"/>
        <v>64113.51</v>
      </c>
      <c r="AI220" s="187"/>
      <c r="AJ220" s="711">
        <f t="shared" si="258"/>
        <v>646506.72</v>
      </c>
      <c r="AK220" s="709">
        <f t="shared" si="239"/>
        <v>29360.82</v>
      </c>
      <c r="AL220" s="187"/>
      <c r="AM220" s="709">
        <f t="shared" si="240"/>
        <v>36645.26</v>
      </c>
      <c r="AN220" s="187"/>
      <c r="AO220" s="709">
        <f t="shared" si="241"/>
        <v>34889.949999999997</v>
      </c>
      <c r="AP220" s="187"/>
      <c r="AQ220" s="711">
        <f t="shared" si="259"/>
        <v>0</v>
      </c>
      <c r="AR220" s="709">
        <f t="shared" si="242"/>
        <v>35718.379999999997</v>
      </c>
      <c r="AS220" s="187"/>
      <c r="AT220" s="711">
        <f t="shared" si="260"/>
        <v>0</v>
      </c>
      <c r="AU220" s="712">
        <f t="shared" si="261"/>
        <v>19377015.649999999</v>
      </c>
      <c r="AV220" s="187"/>
      <c r="AW220" s="709">
        <f t="shared" si="243"/>
        <v>65258.22</v>
      </c>
      <c r="AX220" s="187"/>
      <c r="AY220" s="709">
        <f t="shared" si="244"/>
        <v>81192.94</v>
      </c>
      <c r="AZ220" s="187"/>
      <c r="BA220" s="709">
        <f t="shared" si="245"/>
        <v>77353.2</v>
      </c>
      <c r="BB220" s="187"/>
      <c r="BC220" s="711">
        <f t="shared" si="262"/>
        <v>0</v>
      </c>
      <c r="BD220" s="709">
        <f t="shared" si="246"/>
        <v>77787.27</v>
      </c>
      <c r="BE220" s="187"/>
      <c r="BF220" s="709">
        <f t="shared" si="247"/>
        <v>96908.93</v>
      </c>
      <c r="BG220" s="187"/>
      <c r="BH220" s="711">
        <f t="shared" si="263"/>
        <v>0</v>
      </c>
      <c r="BI220" s="713">
        <f t="shared" si="264"/>
        <v>0</v>
      </c>
      <c r="BJ220" s="709">
        <f t="shared" si="248"/>
        <v>25708.01</v>
      </c>
      <c r="BK220" s="187"/>
      <c r="BL220" s="709">
        <f t="shared" si="249"/>
        <v>27763.9</v>
      </c>
      <c r="BM220" s="187"/>
      <c r="BN220" s="709">
        <f t="shared" si="250"/>
        <v>23851.91</v>
      </c>
      <c r="BO220" s="187"/>
      <c r="BP220" s="711">
        <f t="shared" si="265"/>
        <v>0</v>
      </c>
      <c r="BQ220" s="709">
        <f t="shared" si="251"/>
        <v>42444.76</v>
      </c>
      <c r="BR220" s="187"/>
      <c r="BS220" s="709">
        <f t="shared" si="252"/>
        <v>46158.78</v>
      </c>
      <c r="BT220" s="187"/>
      <c r="BU220" s="709">
        <f t="shared" si="253"/>
        <v>39091.67</v>
      </c>
      <c r="BV220" s="187"/>
      <c r="BW220" s="1047">
        <f t="shared" si="266"/>
        <v>0</v>
      </c>
      <c r="BX220" s="187">
        <f t="shared" si="267"/>
        <v>536</v>
      </c>
      <c r="BY220" s="117">
        <f t="shared" si="268"/>
        <v>19377015.649999999</v>
      </c>
      <c r="BZ220" s="117"/>
    </row>
    <row r="221" spans="1:78" s="116" customFormat="1" ht="16.5">
      <c r="A221" s="376">
        <v>9</v>
      </c>
      <c r="B221" s="377" t="s">
        <v>563</v>
      </c>
      <c r="C221" s="378"/>
      <c r="D221" s="709">
        <f t="shared" si="225"/>
        <v>31250.82</v>
      </c>
      <c r="E221" s="187">
        <v>213</v>
      </c>
      <c r="F221" s="709">
        <f t="shared" si="226"/>
        <v>38535.26</v>
      </c>
      <c r="G221" s="187">
        <v>232</v>
      </c>
      <c r="H221" s="709">
        <f t="shared" si="227"/>
        <v>36779.949999999997</v>
      </c>
      <c r="I221" s="187">
        <v>53</v>
      </c>
      <c r="J221" s="711">
        <f t="shared" si="254"/>
        <v>17545942.329999998</v>
      </c>
      <c r="K221" s="709">
        <f t="shared" si="228"/>
        <v>35546.49</v>
      </c>
      <c r="L221" s="187"/>
      <c r="M221" s="709">
        <f t="shared" si="229"/>
        <v>43923.6</v>
      </c>
      <c r="N221" s="187"/>
      <c r="O221" s="709">
        <f t="shared" si="230"/>
        <v>41904.99</v>
      </c>
      <c r="P221" s="187"/>
      <c r="Q221" s="711">
        <f t="shared" si="255"/>
        <v>0</v>
      </c>
      <c r="R221" s="709">
        <f t="shared" si="231"/>
        <v>41274.050000000003</v>
      </c>
      <c r="S221" s="187"/>
      <c r="T221" s="709">
        <f t="shared" si="232"/>
        <v>51108.05</v>
      </c>
      <c r="U221" s="187"/>
      <c r="V221" s="709">
        <f t="shared" si="233"/>
        <v>48738.38</v>
      </c>
      <c r="W221" s="187"/>
      <c r="X221" s="711">
        <f t="shared" si="256"/>
        <v>0</v>
      </c>
      <c r="Y221" s="709">
        <f t="shared" si="234"/>
        <v>45569.73</v>
      </c>
      <c r="Z221" s="187"/>
      <c r="AA221" s="709">
        <f t="shared" si="235"/>
        <v>56496.39</v>
      </c>
      <c r="AB221" s="187"/>
      <c r="AC221" s="711">
        <f t="shared" si="257"/>
        <v>0</v>
      </c>
      <c r="AD221" s="709">
        <f t="shared" si="236"/>
        <v>54161.08</v>
      </c>
      <c r="AE221" s="187">
        <v>2</v>
      </c>
      <c r="AF221" s="709">
        <f t="shared" si="237"/>
        <v>67273.070000000007</v>
      </c>
      <c r="AG221" s="187">
        <v>9</v>
      </c>
      <c r="AH221" s="709">
        <f t="shared" si="238"/>
        <v>64113.51</v>
      </c>
      <c r="AI221" s="187"/>
      <c r="AJ221" s="711">
        <f t="shared" si="258"/>
        <v>713779.79</v>
      </c>
      <c r="AK221" s="709">
        <f t="shared" si="239"/>
        <v>29360.82</v>
      </c>
      <c r="AL221" s="187"/>
      <c r="AM221" s="709">
        <f t="shared" si="240"/>
        <v>36645.26</v>
      </c>
      <c r="AN221" s="187"/>
      <c r="AO221" s="709">
        <f t="shared" si="241"/>
        <v>34889.949999999997</v>
      </c>
      <c r="AP221" s="187"/>
      <c r="AQ221" s="711">
        <f t="shared" si="259"/>
        <v>0</v>
      </c>
      <c r="AR221" s="709">
        <f t="shared" si="242"/>
        <v>35718.379999999997</v>
      </c>
      <c r="AS221" s="187"/>
      <c r="AT221" s="711">
        <f t="shared" si="260"/>
        <v>0</v>
      </c>
      <c r="AU221" s="712">
        <f t="shared" si="261"/>
        <v>18259722.119999997</v>
      </c>
      <c r="AV221" s="187"/>
      <c r="AW221" s="709">
        <f t="shared" si="243"/>
        <v>65258.22</v>
      </c>
      <c r="AX221" s="187"/>
      <c r="AY221" s="709">
        <f t="shared" si="244"/>
        <v>81192.94</v>
      </c>
      <c r="AZ221" s="187"/>
      <c r="BA221" s="709">
        <f t="shared" si="245"/>
        <v>77353.2</v>
      </c>
      <c r="BB221" s="187"/>
      <c r="BC221" s="711">
        <f t="shared" si="262"/>
        <v>0</v>
      </c>
      <c r="BD221" s="709">
        <f t="shared" si="246"/>
        <v>77787.27</v>
      </c>
      <c r="BE221" s="187"/>
      <c r="BF221" s="709">
        <f t="shared" si="247"/>
        <v>96908.93</v>
      </c>
      <c r="BG221" s="187"/>
      <c r="BH221" s="711">
        <f t="shared" si="263"/>
        <v>0</v>
      </c>
      <c r="BI221" s="713">
        <f t="shared" si="264"/>
        <v>0</v>
      </c>
      <c r="BJ221" s="709">
        <f t="shared" si="248"/>
        <v>25708.01</v>
      </c>
      <c r="BK221" s="187"/>
      <c r="BL221" s="709">
        <f t="shared" si="249"/>
        <v>27763.9</v>
      </c>
      <c r="BM221" s="187"/>
      <c r="BN221" s="709">
        <f t="shared" si="250"/>
        <v>23851.91</v>
      </c>
      <c r="BO221" s="187"/>
      <c r="BP221" s="711">
        <f t="shared" si="265"/>
        <v>0</v>
      </c>
      <c r="BQ221" s="709">
        <f t="shared" si="251"/>
        <v>42444.76</v>
      </c>
      <c r="BR221" s="187"/>
      <c r="BS221" s="709">
        <f t="shared" si="252"/>
        <v>46158.78</v>
      </c>
      <c r="BT221" s="187"/>
      <c r="BU221" s="709">
        <f t="shared" si="253"/>
        <v>39091.67</v>
      </c>
      <c r="BV221" s="187"/>
      <c r="BW221" s="1047">
        <f t="shared" si="266"/>
        <v>0</v>
      </c>
      <c r="BX221" s="187">
        <f t="shared" si="267"/>
        <v>509</v>
      </c>
      <c r="BY221" s="117">
        <f t="shared" si="268"/>
        <v>18259722.119999997</v>
      </c>
      <c r="BZ221" s="117"/>
    </row>
    <row r="222" spans="1:78" s="116" customFormat="1" ht="16.5">
      <c r="A222" s="376">
        <v>10</v>
      </c>
      <c r="B222" s="377" t="s">
        <v>564</v>
      </c>
      <c r="C222" s="378"/>
      <c r="D222" s="709">
        <f t="shared" si="225"/>
        <v>31250.82</v>
      </c>
      <c r="E222" s="187">
        <v>330</v>
      </c>
      <c r="F222" s="709">
        <f t="shared" si="226"/>
        <v>38535.26</v>
      </c>
      <c r="G222" s="187">
        <v>155</v>
      </c>
      <c r="H222" s="709">
        <f t="shared" si="227"/>
        <v>36779.949999999997</v>
      </c>
      <c r="I222" s="187"/>
      <c r="J222" s="711">
        <f t="shared" si="254"/>
        <v>16285735.9</v>
      </c>
      <c r="K222" s="709">
        <f t="shared" si="228"/>
        <v>35546.49</v>
      </c>
      <c r="L222" s="187"/>
      <c r="M222" s="709">
        <f t="shared" si="229"/>
        <v>43923.6</v>
      </c>
      <c r="N222" s="187">
        <v>196</v>
      </c>
      <c r="O222" s="709">
        <f t="shared" si="230"/>
        <v>41904.99</v>
      </c>
      <c r="P222" s="187">
        <v>53</v>
      </c>
      <c r="Q222" s="711">
        <f t="shared" si="255"/>
        <v>10829990.07</v>
      </c>
      <c r="R222" s="709">
        <f t="shared" si="231"/>
        <v>41274.050000000003</v>
      </c>
      <c r="S222" s="187"/>
      <c r="T222" s="709">
        <f t="shared" si="232"/>
        <v>51108.05</v>
      </c>
      <c r="U222" s="187"/>
      <c r="V222" s="709">
        <f t="shared" si="233"/>
        <v>48738.38</v>
      </c>
      <c r="W222" s="187"/>
      <c r="X222" s="711">
        <f t="shared" si="256"/>
        <v>0</v>
      </c>
      <c r="Y222" s="709">
        <f t="shared" si="234"/>
        <v>45569.73</v>
      </c>
      <c r="Z222" s="187"/>
      <c r="AA222" s="709">
        <f t="shared" si="235"/>
        <v>56496.39</v>
      </c>
      <c r="AB222" s="187"/>
      <c r="AC222" s="711">
        <f t="shared" si="257"/>
        <v>0</v>
      </c>
      <c r="AD222" s="709">
        <f t="shared" si="236"/>
        <v>54161.08</v>
      </c>
      <c r="AE222" s="187">
        <v>4</v>
      </c>
      <c r="AF222" s="709">
        <f t="shared" si="237"/>
        <v>67273.070000000007</v>
      </c>
      <c r="AG222" s="187">
        <v>10</v>
      </c>
      <c r="AH222" s="709">
        <f t="shared" si="238"/>
        <v>64113.51</v>
      </c>
      <c r="AI222" s="187"/>
      <c r="AJ222" s="711">
        <f t="shared" si="258"/>
        <v>889375.02</v>
      </c>
      <c r="AK222" s="709">
        <f t="shared" si="239"/>
        <v>29360.82</v>
      </c>
      <c r="AL222" s="187"/>
      <c r="AM222" s="709">
        <f t="shared" si="240"/>
        <v>36645.26</v>
      </c>
      <c r="AN222" s="187"/>
      <c r="AO222" s="709">
        <f t="shared" si="241"/>
        <v>34889.949999999997</v>
      </c>
      <c r="AP222" s="187"/>
      <c r="AQ222" s="711">
        <f t="shared" si="259"/>
        <v>0</v>
      </c>
      <c r="AR222" s="709">
        <f t="shared" si="242"/>
        <v>35718.379999999997</v>
      </c>
      <c r="AS222" s="187"/>
      <c r="AT222" s="711">
        <f t="shared" si="260"/>
        <v>0</v>
      </c>
      <c r="AU222" s="712">
        <f t="shared" si="261"/>
        <v>28005100.990000002</v>
      </c>
      <c r="AV222" s="187"/>
      <c r="AW222" s="709">
        <f t="shared" si="243"/>
        <v>65258.22</v>
      </c>
      <c r="AX222" s="187"/>
      <c r="AY222" s="709">
        <f t="shared" si="244"/>
        <v>81192.94</v>
      </c>
      <c r="AZ222" s="187"/>
      <c r="BA222" s="709">
        <f t="shared" si="245"/>
        <v>77353.2</v>
      </c>
      <c r="BB222" s="187"/>
      <c r="BC222" s="711">
        <f t="shared" si="262"/>
        <v>0</v>
      </c>
      <c r="BD222" s="709">
        <f t="shared" si="246"/>
        <v>77787.27</v>
      </c>
      <c r="BE222" s="187"/>
      <c r="BF222" s="709">
        <f t="shared" si="247"/>
        <v>96908.93</v>
      </c>
      <c r="BG222" s="187"/>
      <c r="BH222" s="711">
        <f t="shared" si="263"/>
        <v>0</v>
      </c>
      <c r="BI222" s="713">
        <f t="shared" si="264"/>
        <v>0</v>
      </c>
      <c r="BJ222" s="709">
        <f t="shared" si="248"/>
        <v>25708.01</v>
      </c>
      <c r="BK222" s="187"/>
      <c r="BL222" s="709">
        <f t="shared" si="249"/>
        <v>27763.9</v>
      </c>
      <c r="BM222" s="187"/>
      <c r="BN222" s="709">
        <f t="shared" si="250"/>
        <v>23851.91</v>
      </c>
      <c r="BO222" s="187"/>
      <c r="BP222" s="711">
        <f t="shared" si="265"/>
        <v>0</v>
      </c>
      <c r="BQ222" s="709">
        <f t="shared" si="251"/>
        <v>42444.76</v>
      </c>
      <c r="BR222" s="187"/>
      <c r="BS222" s="709">
        <f t="shared" si="252"/>
        <v>46158.78</v>
      </c>
      <c r="BT222" s="187"/>
      <c r="BU222" s="709">
        <f t="shared" si="253"/>
        <v>39091.67</v>
      </c>
      <c r="BV222" s="187"/>
      <c r="BW222" s="1047">
        <f t="shared" si="266"/>
        <v>0</v>
      </c>
      <c r="BX222" s="187">
        <f t="shared" si="267"/>
        <v>748</v>
      </c>
      <c r="BY222" s="117">
        <f t="shared" si="268"/>
        <v>28005100.990000002</v>
      </c>
      <c r="BZ222" s="117"/>
    </row>
    <row r="223" spans="1:78" s="116" customFormat="1" ht="16.5">
      <c r="A223" s="376">
        <v>11</v>
      </c>
      <c r="B223" s="377" t="s">
        <v>565</v>
      </c>
      <c r="C223" s="378"/>
      <c r="D223" s="709">
        <f t="shared" si="225"/>
        <v>31250.82</v>
      </c>
      <c r="E223" s="187">
        <v>290</v>
      </c>
      <c r="F223" s="709">
        <f t="shared" si="226"/>
        <v>38535.26</v>
      </c>
      <c r="G223" s="187">
        <v>254</v>
      </c>
      <c r="H223" s="709">
        <f t="shared" si="227"/>
        <v>36779.949999999997</v>
      </c>
      <c r="I223" s="187">
        <v>38</v>
      </c>
      <c r="J223" s="711">
        <f t="shared" si="254"/>
        <v>20248331.940000001</v>
      </c>
      <c r="K223" s="709">
        <f t="shared" si="228"/>
        <v>35546.49</v>
      </c>
      <c r="L223" s="187"/>
      <c r="M223" s="709">
        <f t="shared" si="229"/>
        <v>43923.6</v>
      </c>
      <c r="N223" s="187"/>
      <c r="O223" s="709">
        <f t="shared" si="230"/>
        <v>41904.99</v>
      </c>
      <c r="P223" s="187"/>
      <c r="Q223" s="711">
        <f t="shared" si="255"/>
        <v>0</v>
      </c>
      <c r="R223" s="709">
        <f t="shared" si="231"/>
        <v>41274.050000000003</v>
      </c>
      <c r="S223" s="187"/>
      <c r="T223" s="709">
        <f t="shared" si="232"/>
        <v>51108.05</v>
      </c>
      <c r="U223" s="187"/>
      <c r="V223" s="709">
        <f t="shared" si="233"/>
        <v>48738.38</v>
      </c>
      <c r="W223" s="187"/>
      <c r="X223" s="711">
        <f t="shared" si="256"/>
        <v>0</v>
      </c>
      <c r="Y223" s="709">
        <f t="shared" si="234"/>
        <v>45569.73</v>
      </c>
      <c r="Z223" s="187"/>
      <c r="AA223" s="709">
        <f t="shared" si="235"/>
        <v>56496.39</v>
      </c>
      <c r="AB223" s="187"/>
      <c r="AC223" s="711">
        <f t="shared" si="257"/>
        <v>0</v>
      </c>
      <c r="AD223" s="709">
        <f t="shared" si="236"/>
        <v>54161.08</v>
      </c>
      <c r="AE223" s="187"/>
      <c r="AF223" s="709">
        <f t="shared" si="237"/>
        <v>67273.070000000007</v>
      </c>
      <c r="AG223" s="187">
        <v>6</v>
      </c>
      <c r="AH223" s="709">
        <f t="shared" si="238"/>
        <v>64113.51</v>
      </c>
      <c r="AI223" s="187">
        <v>2</v>
      </c>
      <c r="AJ223" s="711">
        <f t="shared" si="258"/>
        <v>531865.43999999994</v>
      </c>
      <c r="AK223" s="709">
        <f t="shared" si="239"/>
        <v>29360.82</v>
      </c>
      <c r="AL223" s="187"/>
      <c r="AM223" s="709">
        <f t="shared" si="240"/>
        <v>36645.26</v>
      </c>
      <c r="AN223" s="187"/>
      <c r="AO223" s="709">
        <f t="shared" si="241"/>
        <v>34889.949999999997</v>
      </c>
      <c r="AP223" s="187"/>
      <c r="AQ223" s="711">
        <f t="shared" si="259"/>
        <v>0</v>
      </c>
      <c r="AR223" s="709">
        <f t="shared" si="242"/>
        <v>35718.379999999997</v>
      </c>
      <c r="AS223" s="187"/>
      <c r="AT223" s="711">
        <f t="shared" si="260"/>
        <v>0</v>
      </c>
      <c r="AU223" s="712">
        <f t="shared" si="261"/>
        <v>20780197.380000003</v>
      </c>
      <c r="AV223" s="187"/>
      <c r="AW223" s="709">
        <f t="shared" si="243"/>
        <v>65258.22</v>
      </c>
      <c r="AX223" s="187"/>
      <c r="AY223" s="709">
        <f t="shared" si="244"/>
        <v>81192.94</v>
      </c>
      <c r="AZ223" s="187"/>
      <c r="BA223" s="709">
        <f t="shared" si="245"/>
        <v>77353.2</v>
      </c>
      <c r="BB223" s="187"/>
      <c r="BC223" s="711">
        <f t="shared" si="262"/>
        <v>0</v>
      </c>
      <c r="BD223" s="709">
        <f t="shared" si="246"/>
        <v>77787.27</v>
      </c>
      <c r="BE223" s="187"/>
      <c r="BF223" s="709">
        <f t="shared" si="247"/>
        <v>96908.93</v>
      </c>
      <c r="BG223" s="187"/>
      <c r="BH223" s="711">
        <f t="shared" si="263"/>
        <v>0</v>
      </c>
      <c r="BI223" s="713">
        <f t="shared" si="264"/>
        <v>0</v>
      </c>
      <c r="BJ223" s="709">
        <f t="shared" si="248"/>
        <v>25708.01</v>
      </c>
      <c r="BK223" s="187"/>
      <c r="BL223" s="709">
        <f t="shared" si="249"/>
        <v>27763.9</v>
      </c>
      <c r="BM223" s="187"/>
      <c r="BN223" s="709">
        <f t="shared" si="250"/>
        <v>23851.91</v>
      </c>
      <c r="BO223" s="187"/>
      <c r="BP223" s="711">
        <f t="shared" si="265"/>
        <v>0</v>
      </c>
      <c r="BQ223" s="709">
        <f t="shared" si="251"/>
        <v>42444.76</v>
      </c>
      <c r="BR223" s="187"/>
      <c r="BS223" s="709">
        <f t="shared" si="252"/>
        <v>46158.78</v>
      </c>
      <c r="BT223" s="187"/>
      <c r="BU223" s="709">
        <f t="shared" si="253"/>
        <v>39091.67</v>
      </c>
      <c r="BV223" s="187"/>
      <c r="BW223" s="1047">
        <f t="shared" si="266"/>
        <v>0</v>
      </c>
      <c r="BX223" s="187">
        <f t="shared" si="267"/>
        <v>590</v>
      </c>
      <c r="BY223" s="117">
        <f t="shared" si="268"/>
        <v>20780197.380000003</v>
      </c>
      <c r="BZ223" s="117"/>
    </row>
    <row r="224" spans="1:78" s="116" customFormat="1" ht="16.5">
      <c r="A224" s="376">
        <v>12</v>
      </c>
      <c r="B224" s="377" t="s">
        <v>566</v>
      </c>
      <c r="C224" s="378"/>
      <c r="D224" s="709">
        <f t="shared" si="225"/>
        <v>31250.82</v>
      </c>
      <c r="E224" s="187">
        <v>94</v>
      </c>
      <c r="F224" s="709">
        <f t="shared" si="226"/>
        <v>38535.26</v>
      </c>
      <c r="G224" s="187"/>
      <c r="H224" s="709">
        <f t="shared" si="227"/>
        <v>36779.949999999997</v>
      </c>
      <c r="I224" s="187"/>
      <c r="J224" s="711">
        <f t="shared" si="254"/>
        <v>2937577.08</v>
      </c>
      <c r="K224" s="709">
        <f t="shared" si="228"/>
        <v>35546.49</v>
      </c>
      <c r="L224" s="187">
        <v>256</v>
      </c>
      <c r="M224" s="709">
        <f t="shared" si="229"/>
        <v>43923.6</v>
      </c>
      <c r="N224" s="187">
        <v>408</v>
      </c>
      <c r="O224" s="709">
        <f t="shared" si="230"/>
        <v>41904.99</v>
      </c>
      <c r="P224" s="187">
        <v>112</v>
      </c>
      <c r="Q224" s="711">
        <f t="shared" si="255"/>
        <v>31714089.120000001</v>
      </c>
      <c r="R224" s="709">
        <f t="shared" si="231"/>
        <v>41274.050000000003</v>
      </c>
      <c r="S224" s="187"/>
      <c r="T224" s="709">
        <f t="shared" si="232"/>
        <v>51108.05</v>
      </c>
      <c r="U224" s="187"/>
      <c r="V224" s="709">
        <f t="shared" si="233"/>
        <v>48738.38</v>
      </c>
      <c r="W224" s="187"/>
      <c r="X224" s="711">
        <f t="shared" si="256"/>
        <v>0</v>
      </c>
      <c r="Y224" s="709">
        <f t="shared" si="234"/>
        <v>45569.73</v>
      </c>
      <c r="Z224" s="187"/>
      <c r="AA224" s="709">
        <f t="shared" si="235"/>
        <v>56496.39</v>
      </c>
      <c r="AB224" s="187"/>
      <c r="AC224" s="711">
        <f t="shared" si="257"/>
        <v>0</v>
      </c>
      <c r="AD224" s="709">
        <f t="shared" si="236"/>
        <v>54161.08</v>
      </c>
      <c r="AE224" s="187"/>
      <c r="AF224" s="709">
        <f t="shared" si="237"/>
        <v>67273.070000000007</v>
      </c>
      <c r="AG224" s="187">
        <v>2</v>
      </c>
      <c r="AH224" s="709">
        <f t="shared" si="238"/>
        <v>64113.51</v>
      </c>
      <c r="AI224" s="187">
        <v>1</v>
      </c>
      <c r="AJ224" s="711">
        <f t="shared" si="258"/>
        <v>198659.65</v>
      </c>
      <c r="AK224" s="709">
        <f t="shared" si="239"/>
        <v>29360.82</v>
      </c>
      <c r="AL224" s="187"/>
      <c r="AM224" s="709">
        <f t="shared" si="240"/>
        <v>36645.26</v>
      </c>
      <c r="AN224" s="187"/>
      <c r="AO224" s="709">
        <f t="shared" si="241"/>
        <v>34889.949999999997</v>
      </c>
      <c r="AP224" s="187"/>
      <c r="AQ224" s="711">
        <f t="shared" si="259"/>
        <v>0</v>
      </c>
      <c r="AR224" s="709">
        <f t="shared" si="242"/>
        <v>35718.379999999997</v>
      </c>
      <c r="AS224" s="187"/>
      <c r="AT224" s="711">
        <f t="shared" si="260"/>
        <v>0</v>
      </c>
      <c r="AU224" s="712">
        <f t="shared" si="261"/>
        <v>34850325.850000001</v>
      </c>
      <c r="AV224" s="187"/>
      <c r="AW224" s="709">
        <f t="shared" si="243"/>
        <v>65258.22</v>
      </c>
      <c r="AX224" s="187"/>
      <c r="AY224" s="709">
        <f t="shared" si="244"/>
        <v>81192.94</v>
      </c>
      <c r="AZ224" s="187"/>
      <c r="BA224" s="709">
        <f t="shared" si="245"/>
        <v>77353.2</v>
      </c>
      <c r="BB224" s="187"/>
      <c r="BC224" s="711">
        <f t="shared" si="262"/>
        <v>0</v>
      </c>
      <c r="BD224" s="709">
        <f t="shared" si="246"/>
        <v>77787.27</v>
      </c>
      <c r="BE224" s="187"/>
      <c r="BF224" s="709">
        <f t="shared" si="247"/>
        <v>96908.93</v>
      </c>
      <c r="BG224" s="187"/>
      <c r="BH224" s="711">
        <f t="shared" si="263"/>
        <v>0</v>
      </c>
      <c r="BI224" s="713">
        <f t="shared" si="264"/>
        <v>0</v>
      </c>
      <c r="BJ224" s="709">
        <f t="shared" si="248"/>
        <v>25708.01</v>
      </c>
      <c r="BK224" s="187"/>
      <c r="BL224" s="709">
        <f t="shared" si="249"/>
        <v>27763.9</v>
      </c>
      <c r="BM224" s="187"/>
      <c r="BN224" s="709">
        <f t="shared" si="250"/>
        <v>23851.91</v>
      </c>
      <c r="BO224" s="187"/>
      <c r="BP224" s="711">
        <f t="shared" si="265"/>
        <v>0</v>
      </c>
      <c r="BQ224" s="709">
        <f t="shared" si="251"/>
        <v>42444.76</v>
      </c>
      <c r="BR224" s="187"/>
      <c r="BS224" s="709">
        <f t="shared" si="252"/>
        <v>46158.78</v>
      </c>
      <c r="BT224" s="187"/>
      <c r="BU224" s="709">
        <f t="shared" si="253"/>
        <v>39091.67</v>
      </c>
      <c r="BV224" s="187"/>
      <c r="BW224" s="1047">
        <f t="shared" si="266"/>
        <v>0</v>
      </c>
      <c r="BX224" s="187">
        <f t="shared" si="267"/>
        <v>873</v>
      </c>
      <c r="BY224" s="117">
        <f t="shared" si="268"/>
        <v>34850325.850000001</v>
      </c>
      <c r="BZ224" s="117"/>
    </row>
    <row r="225" spans="1:78" s="116" customFormat="1" ht="16.5">
      <c r="A225" s="376">
        <v>13</v>
      </c>
      <c r="B225" s="377" t="s">
        <v>567</v>
      </c>
      <c r="C225" s="378"/>
      <c r="D225" s="709">
        <f t="shared" si="225"/>
        <v>31250.82</v>
      </c>
      <c r="E225" s="187">
        <v>220</v>
      </c>
      <c r="F225" s="709">
        <f t="shared" si="226"/>
        <v>38535.26</v>
      </c>
      <c r="G225" s="187">
        <v>225</v>
      </c>
      <c r="H225" s="709">
        <f t="shared" si="227"/>
        <v>36779.949999999997</v>
      </c>
      <c r="I225" s="187">
        <v>37</v>
      </c>
      <c r="J225" s="711">
        <f t="shared" si="254"/>
        <v>16906472.050000001</v>
      </c>
      <c r="K225" s="709">
        <f t="shared" si="228"/>
        <v>35546.49</v>
      </c>
      <c r="L225" s="187"/>
      <c r="M225" s="709">
        <f t="shared" si="229"/>
        <v>43923.6</v>
      </c>
      <c r="N225" s="187"/>
      <c r="O225" s="709">
        <f t="shared" si="230"/>
        <v>41904.99</v>
      </c>
      <c r="P225" s="187"/>
      <c r="Q225" s="711">
        <f t="shared" si="255"/>
        <v>0</v>
      </c>
      <c r="R225" s="709">
        <f t="shared" si="231"/>
        <v>41274.050000000003</v>
      </c>
      <c r="S225" s="187"/>
      <c r="T225" s="709">
        <f t="shared" si="232"/>
        <v>51108.05</v>
      </c>
      <c r="U225" s="187"/>
      <c r="V225" s="709">
        <f t="shared" si="233"/>
        <v>48738.38</v>
      </c>
      <c r="W225" s="187"/>
      <c r="X225" s="711">
        <f t="shared" si="256"/>
        <v>0</v>
      </c>
      <c r="Y225" s="709">
        <f t="shared" si="234"/>
        <v>45569.73</v>
      </c>
      <c r="Z225" s="187"/>
      <c r="AA225" s="709">
        <f t="shared" si="235"/>
        <v>56496.39</v>
      </c>
      <c r="AB225" s="187"/>
      <c r="AC225" s="711">
        <f t="shared" si="257"/>
        <v>0</v>
      </c>
      <c r="AD225" s="709">
        <f t="shared" si="236"/>
        <v>54161.08</v>
      </c>
      <c r="AE225" s="187">
        <v>3</v>
      </c>
      <c r="AF225" s="709">
        <f t="shared" si="237"/>
        <v>67273.070000000007</v>
      </c>
      <c r="AG225" s="187">
        <v>15</v>
      </c>
      <c r="AH225" s="709">
        <f t="shared" si="238"/>
        <v>64113.51</v>
      </c>
      <c r="AI225" s="187"/>
      <c r="AJ225" s="711">
        <f t="shared" si="258"/>
        <v>1171579.29</v>
      </c>
      <c r="AK225" s="709">
        <f t="shared" si="239"/>
        <v>29360.82</v>
      </c>
      <c r="AL225" s="187"/>
      <c r="AM225" s="709">
        <f t="shared" si="240"/>
        <v>36645.26</v>
      </c>
      <c r="AN225" s="187"/>
      <c r="AO225" s="709">
        <f t="shared" si="241"/>
        <v>34889.949999999997</v>
      </c>
      <c r="AP225" s="187"/>
      <c r="AQ225" s="711">
        <f t="shared" si="259"/>
        <v>0</v>
      </c>
      <c r="AR225" s="709">
        <f t="shared" si="242"/>
        <v>35718.379999999997</v>
      </c>
      <c r="AS225" s="187"/>
      <c r="AT225" s="711">
        <f t="shared" si="260"/>
        <v>0</v>
      </c>
      <c r="AU225" s="712">
        <f t="shared" si="261"/>
        <v>18078051.34</v>
      </c>
      <c r="AV225" s="187"/>
      <c r="AW225" s="709">
        <f t="shared" si="243"/>
        <v>65258.22</v>
      </c>
      <c r="AX225" s="187"/>
      <c r="AY225" s="709">
        <f t="shared" si="244"/>
        <v>81192.94</v>
      </c>
      <c r="AZ225" s="187"/>
      <c r="BA225" s="709">
        <f t="shared" si="245"/>
        <v>77353.2</v>
      </c>
      <c r="BB225" s="187"/>
      <c r="BC225" s="711">
        <f t="shared" si="262"/>
        <v>0</v>
      </c>
      <c r="BD225" s="709">
        <f t="shared" si="246"/>
        <v>77787.27</v>
      </c>
      <c r="BE225" s="187"/>
      <c r="BF225" s="709">
        <f t="shared" si="247"/>
        <v>96908.93</v>
      </c>
      <c r="BG225" s="187"/>
      <c r="BH225" s="711">
        <f t="shared" si="263"/>
        <v>0</v>
      </c>
      <c r="BI225" s="713">
        <f t="shared" si="264"/>
        <v>0</v>
      </c>
      <c r="BJ225" s="709">
        <f t="shared" si="248"/>
        <v>25708.01</v>
      </c>
      <c r="BK225" s="187"/>
      <c r="BL225" s="709">
        <f t="shared" si="249"/>
        <v>27763.9</v>
      </c>
      <c r="BM225" s="187"/>
      <c r="BN225" s="709">
        <f t="shared" si="250"/>
        <v>23851.91</v>
      </c>
      <c r="BO225" s="187"/>
      <c r="BP225" s="711">
        <f t="shared" si="265"/>
        <v>0</v>
      </c>
      <c r="BQ225" s="709">
        <f t="shared" si="251"/>
        <v>42444.76</v>
      </c>
      <c r="BR225" s="187"/>
      <c r="BS225" s="709">
        <f t="shared" si="252"/>
        <v>46158.78</v>
      </c>
      <c r="BT225" s="187"/>
      <c r="BU225" s="709">
        <f t="shared" si="253"/>
        <v>39091.67</v>
      </c>
      <c r="BV225" s="187"/>
      <c r="BW225" s="1047">
        <f t="shared" si="266"/>
        <v>0</v>
      </c>
      <c r="BX225" s="187">
        <f t="shared" si="267"/>
        <v>500</v>
      </c>
      <c r="BY225" s="117">
        <f t="shared" si="268"/>
        <v>18078051.34</v>
      </c>
      <c r="BZ225" s="117"/>
    </row>
    <row r="226" spans="1:78" s="116" customFormat="1" ht="16.5">
      <c r="A226" s="376" t="s">
        <v>800</v>
      </c>
      <c r="B226" s="377" t="s">
        <v>568</v>
      </c>
      <c r="C226" s="378"/>
      <c r="D226" s="709">
        <f t="shared" si="225"/>
        <v>31250.82</v>
      </c>
      <c r="E226" s="187">
        <v>382</v>
      </c>
      <c r="F226" s="709">
        <f t="shared" si="226"/>
        <v>38535.26</v>
      </c>
      <c r="G226" s="187">
        <v>434</v>
      </c>
      <c r="H226" s="709">
        <f t="shared" si="227"/>
        <v>36779.949999999997</v>
      </c>
      <c r="I226" s="187">
        <v>76</v>
      </c>
      <c r="J226" s="711">
        <f t="shared" si="254"/>
        <v>31457392.280000001</v>
      </c>
      <c r="K226" s="709">
        <f t="shared" si="228"/>
        <v>35546.49</v>
      </c>
      <c r="L226" s="187"/>
      <c r="M226" s="709">
        <f t="shared" si="229"/>
        <v>43923.6</v>
      </c>
      <c r="N226" s="187"/>
      <c r="O226" s="709">
        <f t="shared" si="230"/>
        <v>41904.99</v>
      </c>
      <c r="P226" s="187"/>
      <c r="Q226" s="711">
        <f t="shared" si="255"/>
        <v>0</v>
      </c>
      <c r="R226" s="709">
        <f t="shared" si="231"/>
        <v>41274.050000000003</v>
      </c>
      <c r="S226" s="187"/>
      <c r="T226" s="709">
        <f t="shared" si="232"/>
        <v>51108.05</v>
      </c>
      <c r="U226" s="187"/>
      <c r="V226" s="709">
        <f t="shared" si="233"/>
        <v>48738.38</v>
      </c>
      <c r="W226" s="187"/>
      <c r="X226" s="711">
        <f t="shared" si="256"/>
        <v>0</v>
      </c>
      <c r="Y226" s="709">
        <f t="shared" si="234"/>
        <v>45569.73</v>
      </c>
      <c r="Z226" s="187"/>
      <c r="AA226" s="709">
        <f t="shared" si="235"/>
        <v>56496.39</v>
      </c>
      <c r="AB226" s="187"/>
      <c r="AC226" s="711">
        <f t="shared" si="257"/>
        <v>0</v>
      </c>
      <c r="AD226" s="709">
        <f t="shared" si="236"/>
        <v>54161.08</v>
      </c>
      <c r="AE226" s="187">
        <v>3</v>
      </c>
      <c r="AF226" s="709">
        <f t="shared" si="237"/>
        <v>67273.070000000007</v>
      </c>
      <c r="AG226" s="187">
        <v>8</v>
      </c>
      <c r="AH226" s="709">
        <f t="shared" si="238"/>
        <v>64113.51</v>
      </c>
      <c r="AI226" s="187">
        <v>2</v>
      </c>
      <c r="AJ226" s="711">
        <f t="shared" si="258"/>
        <v>828894.82</v>
      </c>
      <c r="AK226" s="709">
        <f t="shared" si="239"/>
        <v>29360.82</v>
      </c>
      <c r="AL226" s="187"/>
      <c r="AM226" s="709">
        <f t="shared" si="240"/>
        <v>36645.26</v>
      </c>
      <c r="AN226" s="187"/>
      <c r="AO226" s="709">
        <f t="shared" si="241"/>
        <v>34889.949999999997</v>
      </c>
      <c r="AP226" s="187"/>
      <c r="AQ226" s="711">
        <f t="shared" si="259"/>
        <v>0</v>
      </c>
      <c r="AR226" s="709">
        <f t="shared" si="242"/>
        <v>35718.379999999997</v>
      </c>
      <c r="AS226" s="187"/>
      <c r="AT226" s="711">
        <f t="shared" si="260"/>
        <v>0</v>
      </c>
      <c r="AU226" s="712">
        <f t="shared" si="261"/>
        <v>32286287.100000001</v>
      </c>
      <c r="AV226" s="187"/>
      <c r="AW226" s="709">
        <f t="shared" si="243"/>
        <v>65258.22</v>
      </c>
      <c r="AX226" s="187"/>
      <c r="AY226" s="709">
        <f t="shared" si="244"/>
        <v>81192.94</v>
      </c>
      <c r="AZ226" s="187"/>
      <c r="BA226" s="709">
        <f t="shared" si="245"/>
        <v>77353.2</v>
      </c>
      <c r="BB226" s="187"/>
      <c r="BC226" s="711">
        <f t="shared" si="262"/>
        <v>0</v>
      </c>
      <c r="BD226" s="709">
        <f t="shared" si="246"/>
        <v>77787.27</v>
      </c>
      <c r="BE226" s="187"/>
      <c r="BF226" s="709">
        <f t="shared" si="247"/>
        <v>96908.93</v>
      </c>
      <c r="BG226" s="187"/>
      <c r="BH226" s="711">
        <f t="shared" si="263"/>
        <v>0</v>
      </c>
      <c r="BI226" s="713">
        <f t="shared" si="264"/>
        <v>0</v>
      </c>
      <c r="BJ226" s="709">
        <f t="shared" si="248"/>
        <v>25708.01</v>
      </c>
      <c r="BK226" s="187"/>
      <c r="BL226" s="709">
        <f t="shared" si="249"/>
        <v>27763.9</v>
      </c>
      <c r="BM226" s="187"/>
      <c r="BN226" s="709">
        <f t="shared" si="250"/>
        <v>23851.91</v>
      </c>
      <c r="BO226" s="187"/>
      <c r="BP226" s="711">
        <f t="shared" si="265"/>
        <v>0</v>
      </c>
      <c r="BQ226" s="709">
        <f t="shared" si="251"/>
        <v>42444.76</v>
      </c>
      <c r="BR226" s="187"/>
      <c r="BS226" s="709">
        <f t="shared" si="252"/>
        <v>46158.78</v>
      </c>
      <c r="BT226" s="187"/>
      <c r="BU226" s="709">
        <f t="shared" si="253"/>
        <v>39091.67</v>
      </c>
      <c r="BV226" s="187"/>
      <c r="BW226" s="1047">
        <f t="shared" si="266"/>
        <v>0</v>
      </c>
      <c r="BX226" s="187">
        <f t="shared" si="267"/>
        <v>905</v>
      </c>
      <c r="BY226" s="117">
        <f t="shared" si="268"/>
        <v>32286287.100000001</v>
      </c>
      <c r="BZ226" s="117"/>
    </row>
    <row r="227" spans="1:78" s="116" customFormat="1" ht="16.5">
      <c r="A227" s="376">
        <v>15</v>
      </c>
      <c r="B227" s="377" t="s">
        <v>569</v>
      </c>
      <c r="C227" s="378"/>
      <c r="D227" s="709">
        <f t="shared" si="225"/>
        <v>31250.82</v>
      </c>
      <c r="E227" s="187">
        <v>428</v>
      </c>
      <c r="F227" s="709">
        <f t="shared" si="226"/>
        <v>38535.26</v>
      </c>
      <c r="G227" s="187">
        <v>446</v>
      </c>
      <c r="H227" s="709">
        <f t="shared" si="227"/>
        <v>36779.949999999997</v>
      </c>
      <c r="I227" s="187">
        <v>49</v>
      </c>
      <c r="J227" s="711">
        <f t="shared" si="254"/>
        <v>32364294.469999999</v>
      </c>
      <c r="K227" s="709">
        <f t="shared" si="228"/>
        <v>35546.49</v>
      </c>
      <c r="L227" s="187">
        <v>109</v>
      </c>
      <c r="M227" s="709">
        <f t="shared" si="229"/>
        <v>43923.6</v>
      </c>
      <c r="N227" s="187">
        <v>205</v>
      </c>
      <c r="O227" s="709">
        <f t="shared" si="230"/>
        <v>41904.99</v>
      </c>
      <c r="P227" s="187">
        <v>102</v>
      </c>
      <c r="Q227" s="711">
        <f t="shared" si="255"/>
        <v>17153214.390000001</v>
      </c>
      <c r="R227" s="709">
        <f t="shared" si="231"/>
        <v>41274.050000000003</v>
      </c>
      <c r="S227" s="187"/>
      <c r="T227" s="709">
        <f t="shared" si="232"/>
        <v>51108.05</v>
      </c>
      <c r="U227" s="187"/>
      <c r="V227" s="709">
        <f t="shared" si="233"/>
        <v>48738.38</v>
      </c>
      <c r="W227" s="187"/>
      <c r="X227" s="711">
        <f t="shared" si="256"/>
        <v>0</v>
      </c>
      <c r="Y227" s="709">
        <f t="shared" si="234"/>
        <v>45569.73</v>
      </c>
      <c r="Z227" s="187">
        <v>27</v>
      </c>
      <c r="AA227" s="709">
        <f t="shared" si="235"/>
        <v>56496.39</v>
      </c>
      <c r="AB227" s="187"/>
      <c r="AC227" s="711">
        <f t="shared" si="257"/>
        <v>1230382.71</v>
      </c>
      <c r="AD227" s="709">
        <f t="shared" si="236"/>
        <v>54161.08</v>
      </c>
      <c r="AE227" s="187">
        <v>4</v>
      </c>
      <c r="AF227" s="709">
        <f t="shared" si="237"/>
        <v>67273.070000000007</v>
      </c>
      <c r="AG227" s="187">
        <v>6</v>
      </c>
      <c r="AH227" s="709">
        <f t="shared" si="238"/>
        <v>64113.51</v>
      </c>
      <c r="AI227" s="187">
        <v>2</v>
      </c>
      <c r="AJ227" s="711">
        <f t="shared" si="258"/>
        <v>748509.76</v>
      </c>
      <c r="AK227" s="709">
        <f t="shared" si="239"/>
        <v>29360.82</v>
      </c>
      <c r="AL227" s="187"/>
      <c r="AM227" s="709">
        <f t="shared" si="240"/>
        <v>36645.26</v>
      </c>
      <c r="AN227" s="187"/>
      <c r="AO227" s="709">
        <f t="shared" si="241"/>
        <v>34889.949999999997</v>
      </c>
      <c r="AP227" s="187"/>
      <c r="AQ227" s="711">
        <f t="shared" si="259"/>
        <v>0</v>
      </c>
      <c r="AR227" s="709">
        <f t="shared" si="242"/>
        <v>35718.379999999997</v>
      </c>
      <c r="AS227" s="187"/>
      <c r="AT227" s="711">
        <f t="shared" si="260"/>
        <v>0</v>
      </c>
      <c r="AU227" s="712">
        <f t="shared" si="261"/>
        <v>51496401.329999998</v>
      </c>
      <c r="AV227" s="187"/>
      <c r="AW227" s="709">
        <f t="shared" si="243"/>
        <v>65258.22</v>
      </c>
      <c r="AX227" s="187"/>
      <c r="AY227" s="709">
        <f t="shared" si="244"/>
        <v>81192.94</v>
      </c>
      <c r="AZ227" s="187"/>
      <c r="BA227" s="709">
        <f t="shared" si="245"/>
        <v>77353.2</v>
      </c>
      <c r="BB227" s="187"/>
      <c r="BC227" s="711">
        <f t="shared" si="262"/>
        <v>0</v>
      </c>
      <c r="BD227" s="709">
        <f t="shared" si="246"/>
        <v>77787.27</v>
      </c>
      <c r="BE227" s="187"/>
      <c r="BF227" s="709">
        <f t="shared" si="247"/>
        <v>96908.93</v>
      </c>
      <c r="BG227" s="187"/>
      <c r="BH227" s="711">
        <f t="shared" si="263"/>
        <v>0</v>
      </c>
      <c r="BI227" s="713">
        <f t="shared" si="264"/>
        <v>0</v>
      </c>
      <c r="BJ227" s="709">
        <f t="shared" si="248"/>
        <v>25708.01</v>
      </c>
      <c r="BK227" s="187"/>
      <c r="BL227" s="709">
        <f t="shared" si="249"/>
        <v>27763.9</v>
      </c>
      <c r="BM227" s="187"/>
      <c r="BN227" s="709">
        <f t="shared" si="250"/>
        <v>23851.91</v>
      </c>
      <c r="BO227" s="187"/>
      <c r="BP227" s="711">
        <f t="shared" si="265"/>
        <v>0</v>
      </c>
      <c r="BQ227" s="709">
        <f t="shared" si="251"/>
        <v>42444.76</v>
      </c>
      <c r="BR227" s="187"/>
      <c r="BS227" s="709">
        <f t="shared" si="252"/>
        <v>46158.78</v>
      </c>
      <c r="BT227" s="187"/>
      <c r="BU227" s="709">
        <f t="shared" si="253"/>
        <v>39091.67</v>
      </c>
      <c r="BV227" s="187"/>
      <c r="BW227" s="1047">
        <f t="shared" si="266"/>
        <v>0</v>
      </c>
      <c r="BX227" s="187">
        <f t="shared" si="267"/>
        <v>1378</v>
      </c>
      <c r="BY227" s="117">
        <f t="shared" si="268"/>
        <v>51496401.329999998</v>
      </c>
      <c r="BZ227" s="117"/>
    </row>
    <row r="228" spans="1:78" s="116" customFormat="1" ht="16.5">
      <c r="A228" s="376">
        <v>16</v>
      </c>
      <c r="B228" s="377" t="s">
        <v>570</v>
      </c>
      <c r="C228" s="378"/>
      <c r="D228" s="709">
        <f t="shared" si="225"/>
        <v>31250.82</v>
      </c>
      <c r="E228" s="187">
        <v>438</v>
      </c>
      <c r="F228" s="709">
        <f t="shared" si="226"/>
        <v>38535.26</v>
      </c>
      <c r="G228" s="187">
        <v>558</v>
      </c>
      <c r="H228" s="709">
        <f t="shared" si="227"/>
        <v>36779.949999999997</v>
      </c>
      <c r="I228" s="187">
        <v>91</v>
      </c>
      <c r="J228" s="711">
        <f t="shared" si="254"/>
        <v>38537509.689999998</v>
      </c>
      <c r="K228" s="709">
        <f t="shared" si="228"/>
        <v>35546.49</v>
      </c>
      <c r="L228" s="187">
        <v>113</v>
      </c>
      <c r="M228" s="709">
        <f t="shared" si="229"/>
        <v>43923.6</v>
      </c>
      <c r="N228" s="187">
        <v>61</v>
      </c>
      <c r="O228" s="709">
        <f t="shared" si="230"/>
        <v>41904.99</v>
      </c>
      <c r="P228" s="187"/>
      <c r="Q228" s="711">
        <f t="shared" si="255"/>
        <v>6696092.9699999997</v>
      </c>
      <c r="R228" s="709">
        <f t="shared" si="231"/>
        <v>41274.050000000003</v>
      </c>
      <c r="S228" s="187"/>
      <c r="T228" s="709">
        <f t="shared" si="232"/>
        <v>51108.05</v>
      </c>
      <c r="U228" s="187"/>
      <c r="V228" s="709">
        <f t="shared" si="233"/>
        <v>48738.38</v>
      </c>
      <c r="W228" s="187"/>
      <c r="X228" s="711">
        <f t="shared" si="256"/>
        <v>0</v>
      </c>
      <c r="Y228" s="709">
        <f t="shared" si="234"/>
        <v>45569.73</v>
      </c>
      <c r="Z228" s="187"/>
      <c r="AA228" s="709">
        <f t="shared" si="235"/>
        <v>56496.39</v>
      </c>
      <c r="AB228" s="187">
        <v>14</v>
      </c>
      <c r="AC228" s="711">
        <f t="shared" si="257"/>
        <v>790949.46</v>
      </c>
      <c r="AD228" s="709">
        <f t="shared" si="236"/>
        <v>54161.08</v>
      </c>
      <c r="AE228" s="187">
        <v>10</v>
      </c>
      <c r="AF228" s="709">
        <f t="shared" si="237"/>
        <v>67273.070000000007</v>
      </c>
      <c r="AG228" s="187">
        <v>25</v>
      </c>
      <c r="AH228" s="709">
        <f t="shared" si="238"/>
        <v>64113.51</v>
      </c>
      <c r="AI228" s="187">
        <v>1</v>
      </c>
      <c r="AJ228" s="711">
        <f t="shared" si="258"/>
        <v>2287551.06</v>
      </c>
      <c r="AK228" s="709">
        <f t="shared" si="239"/>
        <v>29360.82</v>
      </c>
      <c r="AL228" s="187"/>
      <c r="AM228" s="709">
        <f t="shared" si="240"/>
        <v>36645.26</v>
      </c>
      <c r="AN228" s="187"/>
      <c r="AO228" s="709">
        <f t="shared" si="241"/>
        <v>34889.949999999997</v>
      </c>
      <c r="AP228" s="187"/>
      <c r="AQ228" s="711">
        <f t="shared" si="259"/>
        <v>0</v>
      </c>
      <c r="AR228" s="709">
        <f t="shared" si="242"/>
        <v>35718.379999999997</v>
      </c>
      <c r="AS228" s="187"/>
      <c r="AT228" s="711">
        <f t="shared" si="260"/>
        <v>0</v>
      </c>
      <c r="AU228" s="712">
        <f t="shared" si="261"/>
        <v>48312103.18</v>
      </c>
      <c r="AV228" s="187"/>
      <c r="AW228" s="709">
        <f t="shared" si="243"/>
        <v>65258.22</v>
      </c>
      <c r="AX228" s="187"/>
      <c r="AY228" s="709">
        <f t="shared" si="244"/>
        <v>81192.94</v>
      </c>
      <c r="AZ228" s="187"/>
      <c r="BA228" s="709">
        <f t="shared" si="245"/>
        <v>77353.2</v>
      </c>
      <c r="BB228" s="187"/>
      <c r="BC228" s="711">
        <f t="shared" si="262"/>
        <v>0</v>
      </c>
      <c r="BD228" s="709">
        <f t="shared" si="246"/>
        <v>77787.27</v>
      </c>
      <c r="BE228" s="187"/>
      <c r="BF228" s="709">
        <f t="shared" si="247"/>
        <v>96908.93</v>
      </c>
      <c r="BG228" s="187"/>
      <c r="BH228" s="711">
        <f t="shared" si="263"/>
        <v>0</v>
      </c>
      <c r="BI228" s="713">
        <f t="shared" si="264"/>
        <v>0</v>
      </c>
      <c r="BJ228" s="709">
        <f t="shared" si="248"/>
        <v>25708.01</v>
      </c>
      <c r="BK228" s="187"/>
      <c r="BL228" s="709">
        <f t="shared" si="249"/>
        <v>27763.9</v>
      </c>
      <c r="BM228" s="187"/>
      <c r="BN228" s="709">
        <f t="shared" si="250"/>
        <v>23851.91</v>
      </c>
      <c r="BO228" s="187"/>
      <c r="BP228" s="711">
        <f t="shared" si="265"/>
        <v>0</v>
      </c>
      <c r="BQ228" s="709">
        <f t="shared" si="251"/>
        <v>42444.76</v>
      </c>
      <c r="BR228" s="187"/>
      <c r="BS228" s="709">
        <f t="shared" si="252"/>
        <v>46158.78</v>
      </c>
      <c r="BT228" s="187"/>
      <c r="BU228" s="709">
        <f t="shared" si="253"/>
        <v>39091.67</v>
      </c>
      <c r="BV228" s="187"/>
      <c r="BW228" s="1047">
        <f t="shared" si="266"/>
        <v>0</v>
      </c>
      <c r="BX228" s="187">
        <f t="shared" si="267"/>
        <v>1311</v>
      </c>
      <c r="BY228" s="117">
        <f t="shared" si="268"/>
        <v>48312103.18</v>
      </c>
      <c r="BZ228" s="117"/>
    </row>
    <row r="229" spans="1:78" s="116" customFormat="1" ht="16.5">
      <c r="A229" s="376">
        <v>17</v>
      </c>
      <c r="B229" s="377" t="s">
        <v>571</v>
      </c>
      <c r="C229" s="378"/>
      <c r="D229" s="709">
        <f t="shared" si="225"/>
        <v>31250.82</v>
      </c>
      <c r="E229" s="187">
        <v>165</v>
      </c>
      <c r="F229" s="709">
        <f t="shared" si="226"/>
        <v>38535.26</v>
      </c>
      <c r="G229" s="187">
        <v>112</v>
      </c>
      <c r="H229" s="709">
        <f t="shared" si="227"/>
        <v>36779.949999999997</v>
      </c>
      <c r="I229" s="187">
        <v>19</v>
      </c>
      <c r="J229" s="711">
        <f t="shared" si="254"/>
        <v>10171153.470000001</v>
      </c>
      <c r="K229" s="709">
        <f t="shared" si="228"/>
        <v>35546.49</v>
      </c>
      <c r="L229" s="187"/>
      <c r="M229" s="709">
        <f t="shared" si="229"/>
        <v>43923.6</v>
      </c>
      <c r="N229" s="187"/>
      <c r="O229" s="709">
        <f t="shared" si="230"/>
        <v>41904.99</v>
      </c>
      <c r="P229" s="187"/>
      <c r="Q229" s="711">
        <f t="shared" si="255"/>
        <v>0</v>
      </c>
      <c r="R229" s="709">
        <f t="shared" si="231"/>
        <v>41274.050000000003</v>
      </c>
      <c r="S229" s="187"/>
      <c r="T229" s="709">
        <f t="shared" si="232"/>
        <v>51108.05</v>
      </c>
      <c r="U229" s="187"/>
      <c r="V229" s="709">
        <f t="shared" si="233"/>
        <v>48738.38</v>
      </c>
      <c r="W229" s="187"/>
      <c r="X229" s="711">
        <f t="shared" si="256"/>
        <v>0</v>
      </c>
      <c r="Y229" s="709">
        <f t="shared" si="234"/>
        <v>45569.73</v>
      </c>
      <c r="Z229" s="187">
        <v>16</v>
      </c>
      <c r="AA229" s="709">
        <f t="shared" si="235"/>
        <v>56496.39</v>
      </c>
      <c r="AB229" s="187">
        <v>18</v>
      </c>
      <c r="AC229" s="711">
        <f t="shared" si="257"/>
        <v>1746050.7</v>
      </c>
      <c r="AD229" s="709">
        <f t="shared" si="236"/>
        <v>54161.08</v>
      </c>
      <c r="AE229" s="187">
        <v>1</v>
      </c>
      <c r="AF229" s="709">
        <f t="shared" si="237"/>
        <v>67273.070000000007</v>
      </c>
      <c r="AG229" s="187">
        <v>4</v>
      </c>
      <c r="AH229" s="709">
        <f t="shared" si="238"/>
        <v>64113.51</v>
      </c>
      <c r="AI229" s="187">
        <v>3</v>
      </c>
      <c r="AJ229" s="711">
        <f t="shared" si="258"/>
        <v>515593.89</v>
      </c>
      <c r="AK229" s="709">
        <f t="shared" si="239"/>
        <v>29360.82</v>
      </c>
      <c r="AL229" s="187"/>
      <c r="AM229" s="709">
        <f t="shared" si="240"/>
        <v>36645.26</v>
      </c>
      <c r="AN229" s="187"/>
      <c r="AO229" s="709">
        <f t="shared" si="241"/>
        <v>34889.949999999997</v>
      </c>
      <c r="AP229" s="187"/>
      <c r="AQ229" s="711">
        <f t="shared" si="259"/>
        <v>0</v>
      </c>
      <c r="AR229" s="709">
        <f t="shared" si="242"/>
        <v>35718.379999999997</v>
      </c>
      <c r="AS229" s="187"/>
      <c r="AT229" s="711">
        <f t="shared" si="260"/>
        <v>0</v>
      </c>
      <c r="AU229" s="712">
        <f t="shared" si="261"/>
        <v>12432798.060000001</v>
      </c>
      <c r="AV229" s="187"/>
      <c r="AW229" s="709">
        <f t="shared" si="243"/>
        <v>65258.22</v>
      </c>
      <c r="AX229" s="187"/>
      <c r="AY229" s="709">
        <f t="shared" si="244"/>
        <v>81192.94</v>
      </c>
      <c r="AZ229" s="187"/>
      <c r="BA229" s="709">
        <f t="shared" si="245"/>
        <v>77353.2</v>
      </c>
      <c r="BB229" s="187"/>
      <c r="BC229" s="711">
        <f t="shared" si="262"/>
        <v>0</v>
      </c>
      <c r="BD229" s="709">
        <f t="shared" si="246"/>
        <v>77787.27</v>
      </c>
      <c r="BE229" s="187"/>
      <c r="BF229" s="709">
        <f t="shared" si="247"/>
        <v>96908.93</v>
      </c>
      <c r="BG229" s="187"/>
      <c r="BH229" s="711">
        <f t="shared" si="263"/>
        <v>0</v>
      </c>
      <c r="BI229" s="713">
        <f t="shared" si="264"/>
        <v>0</v>
      </c>
      <c r="BJ229" s="709">
        <f t="shared" si="248"/>
        <v>25708.01</v>
      </c>
      <c r="BK229" s="187"/>
      <c r="BL229" s="709">
        <f t="shared" si="249"/>
        <v>27763.9</v>
      </c>
      <c r="BM229" s="187"/>
      <c r="BN229" s="709">
        <f t="shared" si="250"/>
        <v>23851.91</v>
      </c>
      <c r="BO229" s="187"/>
      <c r="BP229" s="711">
        <f t="shared" si="265"/>
        <v>0</v>
      </c>
      <c r="BQ229" s="709">
        <f t="shared" si="251"/>
        <v>42444.76</v>
      </c>
      <c r="BR229" s="187"/>
      <c r="BS229" s="709">
        <f t="shared" si="252"/>
        <v>46158.78</v>
      </c>
      <c r="BT229" s="187"/>
      <c r="BU229" s="709">
        <f t="shared" si="253"/>
        <v>39091.67</v>
      </c>
      <c r="BV229" s="187"/>
      <c r="BW229" s="1047">
        <f t="shared" si="266"/>
        <v>0</v>
      </c>
      <c r="BX229" s="187">
        <f t="shared" si="267"/>
        <v>338</v>
      </c>
      <c r="BY229" s="117">
        <f t="shared" si="268"/>
        <v>12432798.060000001</v>
      </c>
      <c r="BZ229" s="117"/>
    </row>
    <row r="230" spans="1:78" s="116" customFormat="1" ht="16.5">
      <c r="A230" s="376">
        <v>18</v>
      </c>
      <c r="B230" s="377" t="s">
        <v>572</v>
      </c>
      <c r="C230" s="378"/>
      <c r="D230" s="709">
        <f t="shared" si="225"/>
        <v>31250.82</v>
      </c>
      <c r="E230" s="187">
        <v>251</v>
      </c>
      <c r="F230" s="709">
        <f t="shared" si="226"/>
        <v>38535.26</v>
      </c>
      <c r="G230" s="187">
        <v>241</v>
      </c>
      <c r="H230" s="709">
        <f t="shared" si="227"/>
        <v>36779.949999999997</v>
      </c>
      <c r="I230" s="187">
        <v>55</v>
      </c>
      <c r="J230" s="711">
        <f t="shared" si="254"/>
        <v>19153850.73</v>
      </c>
      <c r="K230" s="709">
        <f t="shared" si="228"/>
        <v>35546.49</v>
      </c>
      <c r="L230" s="187">
        <v>106</v>
      </c>
      <c r="M230" s="709">
        <f t="shared" si="229"/>
        <v>43923.6</v>
      </c>
      <c r="N230" s="187">
        <v>133</v>
      </c>
      <c r="O230" s="709">
        <f t="shared" si="230"/>
        <v>41904.99</v>
      </c>
      <c r="P230" s="187">
        <v>14</v>
      </c>
      <c r="Q230" s="711">
        <f t="shared" si="255"/>
        <v>10196436.6</v>
      </c>
      <c r="R230" s="709">
        <f t="shared" si="231"/>
        <v>41274.050000000003</v>
      </c>
      <c r="S230" s="187"/>
      <c r="T230" s="709">
        <f t="shared" si="232"/>
        <v>51108.05</v>
      </c>
      <c r="U230" s="187"/>
      <c r="V230" s="709">
        <f t="shared" si="233"/>
        <v>48738.38</v>
      </c>
      <c r="W230" s="187"/>
      <c r="X230" s="711">
        <f t="shared" si="256"/>
        <v>0</v>
      </c>
      <c r="Y230" s="709">
        <f t="shared" si="234"/>
        <v>45569.73</v>
      </c>
      <c r="Z230" s="187"/>
      <c r="AA230" s="709">
        <f t="shared" si="235"/>
        <v>56496.39</v>
      </c>
      <c r="AB230" s="187"/>
      <c r="AC230" s="711">
        <f t="shared" si="257"/>
        <v>0</v>
      </c>
      <c r="AD230" s="709">
        <f t="shared" si="236"/>
        <v>54161.08</v>
      </c>
      <c r="AE230" s="187">
        <v>7</v>
      </c>
      <c r="AF230" s="709">
        <f t="shared" si="237"/>
        <v>67273.070000000007</v>
      </c>
      <c r="AG230" s="187">
        <v>12</v>
      </c>
      <c r="AH230" s="709">
        <f t="shared" si="238"/>
        <v>64113.51</v>
      </c>
      <c r="AI230" s="187">
        <v>1</v>
      </c>
      <c r="AJ230" s="711">
        <f t="shared" si="258"/>
        <v>1250517.9099999999</v>
      </c>
      <c r="AK230" s="709">
        <f t="shared" si="239"/>
        <v>29360.82</v>
      </c>
      <c r="AL230" s="187"/>
      <c r="AM230" s="709">
        <f t="shared" si="240"/>
        <v>36645.26</v>
      </c>
      <c r="AN230" s="187"/>
      <c r="AO230" s="709">
        <f t="shared" si="241"/>
        <v>34889.949999999997</v>
      </c>
      <c r="AP230" s="187"/>
      <c r="AQ230" s="711">
        <f t="shared" si="259"/>
        <v>0</v>
      </c>
      <c r="AR230" s="709">
        <f t="shared" si="242"/>
        <v>35718.379999999997</v>
      </c>
      <c r="AS230" s="187"/>
      <c r="AT230" s="711">
        <f t="shared" si="260"/>
        <v>0</v>
      </c>
      <c r="AU230" s="712">
        <f t="shared" si="261"/>
        <v>30600805.240000002</v>
      </c>
      <c r="AV230" s="187"/>
      <c r="AW230" s="709">
        <f t="shared" si="243"/>
        <v>65258.22</v>
      </c>
      <c r="AX230" s="187"/>
      <c r="AY230" s="709">
        <f t="shared" si="244"/>
        <v>81192.94</v>
      </c>
      <c r="AZ230" s="187"/>
      <c r="BA230" s="709">
        <f t="shared" si="245"/>
        <v>77353.2</v>
      </c>
      <c r="BB230" s="187"/>
      <c r="BC230" s="711">
        <f t="shared" si="262"/>
        <v>0</v>
      </c>
      <c r="BD230" s="709">
        <f t="shared" si="246"/>
        <v>77787.27</v>
      </c>
      <c r="BE230" s="187"/>
      <c r="BF230" s="709">
        <f t="shared" si="247"/>
        <v>96908.93</v>
      </c>
      <c r="BG230" s="187"/>
      <c r="BH230" s="711">
        <f t="shared" si="263"/>
        <v>0</v>
      </c>
      <c r="BI230" s="713">
        <f t="shared" si="264"/>
        <v>0</v>
      </c>
      <c r="BJ230" s="709">
        <f t="shared" si="248"/>
        <v>25708.01</v>
      </c>
      <c r="BK230" s="187"/>
      <c r="BL230" s="709">
        <f t="shared" si="249"/>
        <v>27763.9</v>
      </c>
      <c r="BM230" s="187"/>
      <c r="BN230" s="709">
        <f t="shared" si="250"/>
        <v>23851.91</v>
      </c>
      <c r="BO230" s="187"/>
      <c r="BP230" s="711">
        <f t="shared" si="265"/>
        <v>0</v>
      </c>
      <c r="BQ230" s="709">
        <f t="shared" si="251"/>
        <v>42444.76</v>
      </c>
      <c r="BR230" s="187"/>
      <c r="BS230" s="709">
        <f t="shared" si="252"/>
        <v>46158.78</v>
      </c>
      <c r="BT230" s="187"/>
      <c r="BU230" s="709">
        <f t="shared" si="253"/>
        <v>39091.67</v>
      </c>
      <c r="BV230" s="187"/>
      <c r="BW230" s="1047">
        <f t="shared" si="266"/>
        <v>0</v>
      </c>
      <c r="BX230" s="187">
        <f t="shared" si="267"/>
        <v>820</v>
      </c>
      <c r="BY230" s="117">
        <f t="shared" si="268"/>
        <v>30600805.240000002</v>
      </c>
      <c r="BZ230" s="117"/>
    </row>
    <row r="231" spans="1:78" s="116" customFormat="1" ht="16.5">
      <c r="A231" s="376">
        <v>19</v>
      </c>
      <c r="B231" s="377" t="s">
        <v>573</v>
      </c>
      <c r="C231" s="378"/>
      <c r="D231" s="709">
        <f t="shared" si="225"/>
        <v>31250.82</v>
      </c>
      <c r="E231" s="187">
        <v>156</v>
      </c>
      <c r="F231" s="709">
        <f t="shared" si="226"/>
        <v>38535.26</v>
      </c>
      <c r="G231" s="187">
        <v>123</v>
      </c>
      <c r="H231" s="709">
        <f t="shared" si="227"/>
        <v>36779.949999999997</v>
      </c>
      <c r="I231" s="187"/>
      <c r="J231" s="711">
        <f t="shared" si="254"/>
        <v>9614964.9000000004</v>
      </c>
      <c r="K231" s="709">
        <f t="shared" si="228"/>
        <v>35546.49</v>
      </c>
      <c r="L231" s="187">
        <v>113</v>
      </c>
      <c r="M231" s="709">
        <f t="shared" si="229"/>
        <v>43923.6</v>
      </c>
      <c r="N231" s="187">
        <v>144</v>
      </c>
      <c r="O231" s="709">
        <f t="shared" si="230"/>
        <v>41904.99</v>
      </c>
      <c r="P231" s="187">
        <v>41</v>
      </c>
      <c r="Q231" s="711">
        <f t="shared" si="255"/>
        <v>12059856.359999999</v>
      </c>
      <c r="R231" s="709">
        <f t="shared" si="231"/>
        <v>41274.050000000003</v>
      </c>
      <c r="S231" s="187"/>
      <c r="T231" s="709">
        <f t="shared" si="232"/>
        <v>51108.05</v>
      </c>
      <c r="U231" s="187"/>
      <c r="V231" s="709">
        <f t="shared" si="233"/>
        <v>48738.38</v>
      </c>
      <c r="W231" s="187"/>
      <c r="X231" s="711">
        <f t="shared" si="256"/>
        <v>0</v>
      </c>
      <c r="Y231" s="709">
        <f t="shared" si="234"/>
        <v>45569.73</v>
      </c>
      <c r="Z231" s="187"/>
      <c r="AA231" s="709">
        <f t="shared" si="235"/>
        <v>56496.39</v>
      </c>
      <c r="AB231" s="187"/>
      <c r="AC231" s="711">
        <f t="shared" si="257"/>
        <v>0</v>
      </c>
      <c r="AD231" s="709">
        <f t="shared" si="236"/>
        <v>54161.08</v>
      </c>
      <c r="AE231" s="187">
        <v>1</v>
      </c>
      <c r="AF231" s="709">
        <f t="shared" si="237"/>
        <v>67273.070000000007</v>
      </c>
      <c r="AG231" s="187">
        <v>4</v>
      </c>
      <c r="AH231" s="709">
        <f t="shared" si="238"/>
        <v>64113.51</v>
      </c>
      <c r="AI231" s="187"/>
      <c r="AJ231" s="711">
        <f t="shared" si="258"/>
        <v>323253.36</v>
      </c>
      <c r="AK231" s="709">
        <f t="shared" si="239"/>
        <v>29360.82</v>
      </c>
      <c r="AL231" s="187"/>
      <c r="AM231" s="709">
        <f t="shared" si="240"/>
        <v>36645.26</v>
      </c>
      <c r="AN231" s="187"/>
      <c r="AO231" s="709">
        <f t="shared" si="241"/>
        <v>34889.949999999997</v>
      </c>
      <c r="AP231" s="187"/>
      <c r="AQ231" s="711">
        <f t="shared" si="259"/>
        <v>0</v>
      </c>
      <c r="AR231" s="709">
        <f t="shared" si="242"/>
        <v>35718.379999999997</v>
      </c>
      <c r="AS231" s="187"/>
      <c r="AT231" s="711">
        <f t="shared" si="260"/>
        <v>0</v>
      </c>
      <c r="AU231" s="712">
        <f t="shared" si="261"/>
        <v>21998074.619999997</v>
      </c>
      <c r="AV231" s="187"/>
      <c r="AW231" s="709">
        <f t="shared" si="243"/>
        <v>65258.22</v>
      </c>
      <c r="AX231" s="187"/>
      <c r="AY231" s="709">
        <f t="shared" si="244"/>
        <v>81192.94</v>
      </c>
      <c r="AZ231" s="187"/>
      <c r="BA231" s="709">
        <f t="shared" si="245"/>
        <v>77353.2</v>
      </c>
      <c r="BB231" s="187"/>
      <c r="BC231" s="711">
        <f t="shared" si="262"/>
        <v>0</v>
      </c>
      <c r="BD231" s="709">
        <f t="shared" si="246"/>
        <v>77787.27</v>
      </c>
      <c r="BE231" s="187"/>
      <c r="BF231" s="709">
        <f t="shared" si="247"/>
        <v>96908.93</v>
      </c>
      <c r="BG231" s="187"/>
      <c r="BH231" s="711">
        <f t="shared" si="263"/>
        <v>0</v>
      </c>
      <c r="BI231" s="713">
        <f t="shared" si="264"/>
        <v>0</v>
      </c>
      <c r="BJ231" s="709">
        <f t="shared" si="248"/>
        <v>25708.01</v>
      </c>
      <c r="BK231" s="187"/>
      <c r="BL231" s="709">
        <f t="shared" si="249"/>
        <v>27763.9</v>
      </c>
      <c r="BM231" s="187"/>
      <c r="BN231" s="709">
        <f t="shared" si="250"/>
        <v>23851.91</v>
      </c>
      <c r="BO231" s="187"/>
      <c r="BP231" s="711">
        <f t="shared" si="265"/>
        <v>0</v>
      </c>
      <c r="BQ231" s="709">
        <f t="shared" si="251"/>
        <v>42444.76</v>
      </c>
      <c r="BR231" s="187"/>
      <c r="BS231" s="709">
        <f t="shared" si="252"/>
        <v>46158.78</v>
      </c>
      <c r="BT231" s="187"/>
      <c r="BU231" s="709">
        <f t="shared" si="253"/>
        <v>39091.67</v>
      </c>
      <c r="BV231" s="187"/>
      <c r="BW231" s="1047">
        <f t="shared" si="266"/>
        <v>0</v>
      </c>
      <c r="BX231" s="187">
        <f t="shared" si="267"/>
        <v>582</v>
      </c>
      <c r="BY231" s="117">
        <f t="shared" si="268"/>
        <v>21998074.619999997</v>
      </c>
      <c r="BZ231" s="117"/>
    </row>
    <row r="232" spans="1:78" s="116" customFormat="1" ht="16.5">
      <c r="A232" s="376">
        <v>20</v>
      </c>
      <c r="B232" s="377" t="s">
        <v>574</v>
      </c>
      <c r="C232" s="378"/>
      <c r="D232" s="709">
        <f t="shared" si="225"/>
        <v>31250.82</v>
      </c>
      <c r="E232" s="187">
        <v>199</v>
      </c>
      <c r="F232" s="709">
        <f t="shared" si="226"/>
        <v>38535.26</v>
      </c>
      <c r="G232" s="187">
        <v>171</v>
      </c>
      <c r="H232" s="709">
        <f t="shared" si="227"/>
        <v>36779.949999999997</v>
      </c>
      <c r="I232" s="187">
        <v>18</v>
      </c>
      <c r="J232" s="711">
        <f t="shared" si="254"/>
        <v>13470481.74</v>
      </c>
      <c r="K232" s="709">
        <f t="shared" si="228"/>
        <v>35546.49</v>
      </c>
      <c r="L232" s="187"/>
      <c r="M232" s="709">
        <f t="shared" si="229"/>
        <v>43923.6</v>
      </c>
      <c r="N232" s="187"/>
      <c r="O232" s="709">
        <f t="shared" si="230"/>
        <v>41904.99</v>
      </c>
      <c r="P232" s="187"/>
      <c r="Q232" s="711">
        <f t="shared" si="255"/>
        <v>0</v>
      </c>
      <c r="R232" s="709">
        <f t="shared" si="231"/>
        <v>41274.050000000003</v>
      </c>
      <c r="S232" s="187"/>
      <c r="T232" s="709">
        <f t="shared" si="232"/>
        <v>51108.05</v>
      </c>
      <c r="U232" s="187"/>
      <c r="V232" s="709">
        <f t="shared" si="233"/>
        <v>48738.38</v>
      </c>
      <c r="W232" s="187"/>
      <c r="X232" s="711">
        <f t="shared" si="256"/>
        <v>0</v>
      </c>
      <c r="Y232" s="709">
        <f t="shared" si="234"/>
        <v>45569.73</v>
      </c>
      <c r="Z232" s="187"/>
      <c r="AA232" s="709">
        <f t="shared" si="235"/>
        <v>56496.39</v>
      </c>
      <c r="AB232" s="187">
        <v>10</v>
      </c>
      <c r="AC232" s="711">
        <f t="shared" si="257"/>
        <v>564963.9</v>
      </c>
      <c r="AD232" s="709">
        <f t="shared" si="236"/>
        <v>54161.08</v>
      </c>
      <c r="AE232" s="187">
        <v>2</v>
      </c>
      <c r="AF232" s="709">
        <f t="shared" si="237"/>
        <v>67273.070000000007</v>
      </c>
      <c r="AG232" s="187">
        <v>5</v>
      </c>
      <c r="AH232" s="709">
        <f t="shared" si="238"/>
        <v>64113.51</v>
      </c>
      <c r="AI232" s="187">
        <v>1</v>
      </c>
      <c r="AJ232" s="711">
        <f t="shared" si="258"/>
        <v>508801.02</v>
      </c>
      <c r="AK232" s="709">
        <f t="shared" si="239"/>
        <v>29360.82</v>
      </c>
      <c r="AL232" s="187"/>
      <c r="AM232" s="709">
        <f t="shared" si="240"/>
        <v>36645.26</v>
      </c>
      <c r="AN232" s="187"/>
      <c r="AO232" s="709">
        <f t="shared" si="241"/>
        <v>34889.949999999997</v>
      </c>
      <c r="AP232" s="187"/>
      <c r="AQ232" s="711">
        <f t="shared" si="259"/>
        <v>0</v>
      </c>
      <c r="AR232" s="709">
        <f t="shared" si="242"/>
        <v>35718.379999999997</v>
      </c>
      <c r="AS232" s="187"/>
      <c r="AT232" s="711">
        <f t="shared" si="260"/>
        <v>0</v>
      </c>
      <c r="AU232" s="712">
        <f t="shared" si="261"/>
        <v>14544246.66</v>
      </c>
      <c r="AV232" s="187"/>
      <c r="AW232" s="709">
        <f t="shared" si="243"/>
        <v>65258.22</v>
      </c>
      <c r="AX232" s="187"/>
      <c r="AY232" s="709">
        <f t="shared" si="244"/>
        <v>81192.94</v>
      </c>
      <c r="AZ232" s="187"/>
      <c r="BA232" s="709">
        <f t="shared" si="245"/>
        <v>77353.2</v>
      </c>
      <c r="BB232" s="187"/>
      <c r="BC232" s="711">
        <f t="shared" si="262"/>
        <v>0</v>
      </c>
      <c r="BD232" s="709">
        <f t="shared" si="246"/>
        <v>77787.27</v>
      </c>
      <c r="BE232" s="187"/>
      <c r="BF232" s="709">
        <f t="shared" si="247"/>
        <v>96908.93</v>
      </c>
      <c r="BG232" s="187"/>
      <c r="BH232" s="711">
        <f t="shared" si="263"/>
        <v>0</v>
      </c>
      <c r="BI232" s="713">
        <f t="shared" si="264"/>
        <v>0</v>
      </c>
      <c r="BJ232" s="709">
        <f t="shared" si="248"/>
        <v>25708.01</v>
      </c>
      <c r="BK232" s="187"/>
      <c r="BL232" s="709">
        <f t="shared" si="249"/>
        <v>27763.9</v>
      </c>
      <c r="BM232" s="187"/>
      <c r="BN232" s="709">
        <f t="shared" si="250"/>
        <v>23851.91</v>
      </c>
      <c r="BO232" s="187"/>
      <c r="BP232" s="711">
        <f t="shared" si="265"/>
        <v>0</v>
      </c>
      <c r="BQ232" s="709">
        <f t="shared" si="251"/>
        <v>42444.76</v>
      </c>
      <c r="BR232" s="187"/>
      <c r="BS232" s="709">
        <f t="shared" si="252"/>
        <v>46158.78</v>
      </c>
      <c r="BT232" s="187"/>
      <c r="BU232" s="709">
        <f t="shared" si="253"/>
        <v>39091.67</v>
      </c>
      <c r="BV232" s="187"/>
      <c r="BW232" s="1047">
        <f t="shared" si="266"/>
        <v>0</v>
      </c>
      <c r="BX232" s="187">
        <f t="shared" si="267"/>
        <v>406</v>
      </c>
      <c r="BY232" s="117">
        <f t="shared" si="268"/>
        <v>14544246.66</v>
      </c>
      <c r="BZ232" s="117"/>
    </row>
    <row r="233" spans="1:78" s="116" customFormat="1" ht="16.5">
      <c r="A233" s="376">
        <v>21</v>
      </c>
      <c r="B233" s="377" t="s">
        <v>575</v>
      </c>
      <c r="C233" s="378"/>
      <c r="D233" s="709">
        <f t="shared" si="225"/>
        <v>31250.82</v>
      </c>
      <c r="E233" s="187">
        <v>200</v>
      </c>
      <c r="F233" s="709">
        <f t="shared" si="226"/>
        <v>38535.26</v>
      </c>
      <c r="G233" s="187">
        <v>176</v>
      </c>
      <c r="H233" s="709">
        <f t="shared" si="227"/>
        <v>36779.949999999997</v>
      </c>
      <c r="I233" s="187"/>
      <c r="J233" s="711">
        <f t="shared" si="254"/>
        <v>13032369.76</v>
      </c>
      <c r="K233" s="709">
        <f t="shared" si="228"/>
        <v>35546.49</v>
      </c>
      <c r="L233" s="187"/>
      <c r="M233" s="709">
        <f t="shared" si="229"/>
        <v>43923.6</v>
      </c>
      <c r="N233" s="187"/>
      <c r="O233" s="709">
        <f t="shared" si="230"/>
        <v>41904.99</v>
      </c>
      <c r="P233" s="187"/>
      <c r="Q233" s="711">
        <f t="shared" si="255"/>
        <v>0</v>
      </c>
      <c r="R233" s="709">
        <f t="shared" si="231"/>
        <v>41274.050000000003</v>
      </c>
      <c r="S233" s="187"/>
      <c r="T233" s="709">
        <f t="shared" si="232"/>
        <v>51108.05</v>
      </c>
      <c r="U233" s="187"/>
      <c r="V233" s="709">
        <f t="shared" si="233"/>
        <v>48738.38</v>
      </c>
      <c r="W233" s="187"/>
      <c r="X233" s="711">
        <f t="shared" si="256"/>
        <v>0</v>
      </c>
      <c r="Y233" s="709">
        <f t="shared" si="234"/>
        <v>45569.73</v>
      </c>
      <c r="Z233" s="187"/>
      <c r="AA233" s="709">
        <f t="shared" si="235"/>
        <v>56496.39</v>
      </c>
      <c r="AB233" s="187"/>
      <c r="AC233" s="711">
        <f t="shared" si="257"/>
        <v>0</v>
      </c>
      <c r="AD233" s="709">
        <f t="shared" si="236"/>
        <v>54161.08</v>
      </c>
      <c r="AE233" s="187">
        <v>2</v>
      </c>
      <c r="AF233" s="709">
        <f t="shared" si="237"/>
        <v>67273.070000000007</v>
      </c>
      <c r="AG233" s="187">
        <v>3</v>
      </c>
      <c r="AH233" s="709">
        <f t="shared" si="238"/>
        <v>64113.51</v>
      </c>
      <c r="AI233" s="187"/>
      <c r="AJ233" s="711">
        <f t="shared" si="258"/>
        <v>310141.37</v>
      </c>
      <c r="AK233" s="709">
        <f t="shared" si="239"/>
        <v>29360.82</v>
      </c>
      <c r="AL233" s="187"/>
      <c r="AM233" s="709">
        <f t="shared" si="240"/>
        <v>36645.26</v>
      </c>
      <c r="AN233" s="187"/>
      <c r="AO233" s="709">
        <f t="shared" si="241"/>
        <v>34889.949999999997</v>
      </c>
      <c r="AP233" s="187"/>
      <c r="AQ233" s="711">
        <f t="shared" si="259"/>
        <v>0</v>
      </c>
      <c r="AR233" s="709">
        <f t="shared" si="242"/>
        <v>35718.379999999997</v>
      </c>
      <c r="AS233" s="187"/>
      <c r="AT233" s="711">
        <f t="shared" si="260"/>
        <v>0</v>
      </c>
      <c r="AU233" s="712">
        <f t="shared" si="261"/>
        <v>13342511.129999999</v>
      </c>
      <c r="AV233" s="187"/>
      <c r="AW233" s="709">
        <f t="shared" si="243"/>
        <v>65258.22</v>
      </c>
      <c r="AX233" s="187"/>
      <c r="AY233" s="709">
        <f t="shared" si="244"/>
        <v>81192.94</v>
      </c>
      <c r="AZ233" s="187"/>
      <c r="BA233" s="709">
        <f t="shared" si="245"/>
        <v>77353.2</v>
      </c>
      <c r="BB233" s="187"/>
      <c r="BC233" s="711">
        <f t="shared" si="262"/>
        <v>0</v>
      </c>
      <c r="BD233" s="709">
        <f t="shared" si="246"/>
        <v>77787.27</v>
      </c>
      <c r="BE233" s="187"/>
      <c r="BF233" s="709">
        <f t="shared" si="247"/>
        <v>96908.93</v>
      </c>
      <c r="BG233" s="187"/>
      <c r="BH233" s="711">
        <f t="shared" si="263"/>
        <v>0</v>
      </c>
      <c r="BI233" s="713">
        <f t="shared" si="264"/>
        <v>0</v>
      </c>
      <c r="BJ233" s="709">
        <f t="shared" si="248"/>
        <v>25708.01</v>
      </c>
      <c r="BK233" s="187"/>
      <c r="BL233" s="709">
        <f t="shared" si="249"/>
        <v>27763.9</v>
      </c>
      <c r="BM233" s="187"/>
      <c r="BN233" s="709">
        <f t="shared" si="250"/>
        <v>23851.91</v>
      </c>
      <c r="BO233" s="187"/>
      <c r="BP233" s="711">
        <f t="shared" si="265"/>
        <v>0</v>
      </c>
      <c r="BQ233" s="709">
        <f t="shared" si="251"/>
        <v>42444.76</v>
      </c>
      <c r="BR233" s="187"/>
      <c r="BS233" s="709">
        <f t="shared" si="252"/>
        <v>46158.78</v>
      </c>
      <c r="BT233" s="187"/>
      <c r="BU233" s="709">
        <f t="shared" si="253"/>
        <v>39091.67</v>
      </c>
      <c r="BV233" s="187"/>
      <c r="BW233" s="1047">
        <f t="shared" si="266"/>
        <v>0</v>
      </c>
      <c r="BX233" s="187">
        <f t="shared" si="267"/>
        <v>381</v>
      </c>
      <c r="BY233" s="117">
        <f t="shared" si="268"/>
        <v>13342511.129999999</v>
      </c>
      <c r="BZ233" s="117"/>
    </row>
    <row r="234" spans="1:78" s="116" customFormat="1" ht="16.5">
      <c r="A234" s="376" t="s">
        <v>801</v>
      </c>
      <c r="B234" s="377" t="s">
        <v>576</v>
      </c>
      <c r="C234" s="378"/>
      <c r="D234" s="709">
        <f t="shared" si="225"/>
        <v>31250.82</v>
      </c>
      <c r="E234" s="187">
        <v>136</v>
      </c>
      <c r="F234" s="709">
        <f t="shared" si="226"/>
        <v>38535.26</v>
      </c>
      <c r="G234" s="187">
        <v>107</v>
      </c>
      <c r="H234" s="709">
        <f t="shared" si="227"/>
        <v>36779.949999999997</v>
      </c>
      <c r="I234" s="187"/>
      <c r="J234" s="711">
        <f t="shared" si="254"/>
        <v>8373384.3399999999</v>
      </c>
      <c r="K234" s="709">
        <f t="shared" si="228"/>
        <v>35546.49</v>
      </c>
      <c r="L234" s="187"/>
      <c r="M234" s="709">
        <f t="shared" si="229"/>
        <v>43923.6</v>
      </c>
      <c r="N234" s="187"/>
      <c r="O234" s="709">
        <f t="shared" si="230"/>
        <v>41904.99</v>
      </c>
      <c r="P234" s="187"/>
      <c r="Q234" s="711">
        <f t="shared" si="255"/>
        <v>0</v>
      </c>
      <c r="R234" s="709">
        <f t="shared" si="231"/>
        <v>41274.050000000003</v>
      </c>
      <c r="S234" s="187"/>
      <c r="T234" s="709">
        <f t="shared" si="232"/>
        <v>51108.05</v>
      </c>
      <c r="U234" s="187"/>
      <c r="V234" s="709">
        <f t="shared" si="233"/>
        <v>48738.38</v>
      </c>
      <c r="W234" s="187"/>
      <c r="X234" s="711">
        <f t="shared" si="256"/>
        <v>0</v>
      </c>
      <c r="Y234" s="709">
        <f t="shared" si="234"/>
        <v>45569.73</v>
      </c>
      <c r="Z234" s="187">
        <v>90</v>
      </c>
      <c r="AA234" s="709">
        <f t="shared" si="235"/>
        <v>56496.39</v>
      </c>
      <c r="AB234" s="187">
        <v>34</v>
      </c>
      <c r="AC234" s="711">
        <f t="shared" si="257"/>
        <v>6022152.96</v>
      </c>
      <c r="AD234" s="709">
        <f t="shared" si="236"/>
        <v>54161.08</v>
      </c>
      <c r="AE234" s="187">
        <v>2</v>
      </c>
      <c r="AF234" s="709">
        <f t="shared" si="237"/>
        <v>67273.070000000007</v>
      </c>
      <c r="AG234" s="187">
        <v>10</v>
      </c>
      <c r="AH234" s="709">
        <f t="shared" si="238"/>
        <v>64113.51</v>
      </c>
      <c r="AI234" s="187"/>
      <c r="AJ234" s="711">
        <f t="shared" si="258"/>
        <v>781052.86</v>
      </c>
      <c r="AK234" s="709">
        <f t="shared" si="239"/>
        <v>29360.82</v>
      </c>
      <c r="AL234" s="187"/>
      <c r="AM234" s="709">
        <f t="shared" si="240"/>
        <v>36645.26</v>
      </c>
      <c r="AN234" s="187"/>
      <c r="AO234" s="709">
        <f t="shared" si="241"/>
        <v>34889.949999999997</v>
      </c>
      <c r="AP234" s="187"/>
      <c r="AQ234" s="711">
        <f t="shared" si="259"/>
        <v>0</v>
      </c>
      <c r="AR234" s="709">
        <f t="shared" si="242"/>
        <v>35718.379999999997</v>
      </c>
      <c r="AS234" s="187">
        <v>24</v>
      </c>
      <c r="AT234" s="711">
        <f t="shared" si="260"/>
        <v>857241.12</v>
      </c>
      <c r="AU234" s="712">
        <f t="shared" si="261"/>
        <v>16033831.279999999</v>
      </c>
      <c r="AV234" s="187"/>
      <c r="AW234" s="709">
        <f t="shared" si="243"/>
        <v>65258.22</v>
      </c>
      <c r="AX234" s="187"/>
      <c r="AY234" s="709">
        <f t="shared" si="244"/>
        <v>81192.94</v>
      </c>
      <c r="AZ234" s="187"/>
      <c r="BA234" s="709">
        <f t="shared" si="245"/>
        <v>77353.2</v>
      </c>
      <c r="BB234" s="187"/>
      <c r="BC234" s="711">
        <f t="shared" si="262"/>
        <v>0</v>
      </c>
      <c r="BD234" s="709">
        <f t="shared" si="246"/>
        <v>77787.27</v>
      </c>
      <c r="BE234" s="187"/>
      <c r="BF234" s="709">
        <f t="shared" si="247"/>
        <v>96908.93</v>
      </c>
      <c r="BG234" s="187"/>
      <c r="BH234" s="711">
        <f t="shared" si="263"/>
        <v>0</v>
      </c>
      <c r="BI234" s="713">
        <f t="shared" si="264"/>
        <v>0</v>
      </c>
      <c r="BJ234" s="709">
        <f t="shared" si="248"/>
        <v>25708.01</v>
      </c>
      <c r="BK234" s="187"/>
      <c r="BL234" s="709">
        <f t="shared" si="249"/>
        <v>27763.9</v>
      </c>
      <c r="BM234" s="187"/>
      <c r="BN234" s="709">
        <f t="shared" si="250"/>
        <v>23851.91</v>
      </c>
      <c r="BO234" s="187"/>
      <c r="BP234" s="711">
        <f t="shared" si="265"/>
        <v>0</v>
      </c>
      <c r="BQ234" s="709">
        <f t="shared" si="251"/>
        <v>42444.76</v>
      </c>
      <c r="BR234" s="187"/>
      <c r="BS234" s="709">
        <f t="shared" si="252"/>
        <v>46158.78</v>
      </c>
      <c r="BT234" s="187"/>
      <c r="BU234" s="709">
        <f t="shared" si="253"/>
        <v>39091.67</v>
      </c>
      <c r="BV234" s="187"/>
      <c r="BW234" s="1047">
        <f t="shared" si="266"/>
        <v>0</v>
      </c>
      <c r="BX234" s="187">
        <f t="shared" si="267"/>
        <v>403</v>
      </c>
      <c r="BY234" s="117">
        <f t="shared" si="268"/>
        <v>16033831.279999999</v>
      </c>
      <c r="BZ234" s="117"/>
    </row>
    <row r="235" spans="1:78" s="116" customFormat="1" ht="16.5">
      <c r="A235" s="376">
        <v>23</v>
      </c>
      <c r="B235" s="377" t="s">
        <v>577</v>
      </c>
      <c r="C235" s="378"/>
      <c r="D235" s="709">
        <f t="shared" si="225"/>
        <v>31250.82</v>
      </c>
      <c r="E235" s="187">
        <v>210</v>
      </c>
      <c r="F235" s="709">
        <f t="shared" si="226"/>
        <v>38535.26</v>
      </c>
      <c r="G235" s="187">
        <v>241</v>
      </c>
      <c r="H235" s="709">
        <f t="shared" si="227"/>
        <v>36779.949999999997</v>
      </c>
      <c r="I235" s="187">
        <v>81</v>
      </c>
      <c r="J235" s="711">
        <f t="shared" si="254"/>
        <v>18828845.809999999</v>
      </c>
      <c r="K235" s="709">
        <f t="shared" si="228"/>
        <v>35546.49</v>
      </c>
      <c r="L235" s="187"/>
      <c r="M235" s="709">
        <f t="shared" si="229"/>
        <v>43923.6</v>
      </c>
      <c r="N235" s="187"/>
      <c r="O235" s="709">
        <f t="shared" si="230"/>
        <v>41904.99</v>
      </c>
      <c r="P235" s="187"/>
      <c r="Q235" s="711">
        <f t="shared" si="255"/>
        <v>0</v>
      </c>
      <c r="R235" s="709">
        <f t="shared" si="231"/>
        <v>41274.050000000003</v>
      </c>
      <c r="S235" s="187"/>
      <c r="T235" s="709">
        <f t="shared" si="232"/>
        <v>51108.05</v>
      </c>
      <c r="U235" s="187"/>
      <c r="V235" s="709">
        <f t="shared" si="233"/>
        <v>48738.38</v>
      </c>
      <c r="W235" s="187"/>
      <c r="X235" s="711">
        <f t="shared" si="256"/>
        <v>0</v>
      </c>
      <c r="Y235" s="709">
        <f t="shared" si="234"/>
        <v>45569.73</v>
      </c>
      <c r="Z235" s="187"/>
      <c r="AA235" s="709">
        <f t="shared" si="235"/>
        <v>56496.39</v>
      </c>
      <c r="AB235" s="187"/>
      <c r="AC235" s="711">
        <f t="shared" si="257"/>
        <v>0</v>
      </c>
      <c r="AD235" s="709">
        <f t="shared" si="236"/>
        <v>54161.08</v>
      </c>
      <c r="AE235" s="187">
        <v>4</v>
      </c>
      <c r="AF235" s="709">
        <f t="shared" si="237"/>
        <v>67273.070000000007</v>
      </c>
      <c r="AG235" s="187">
        <v>11</v>
      </c>
      <c r="AH235" s="709">
        <f t="shared" si="238"/>
        <v>64113.51</v>
      </c>
      <c r="AI235" s="187">
        <v>1</v>
      </c>
      <c r="AJ235" s="711">
        <f t="shared" si="258"/>
        <v>1020761.6</v>
      </c>
      <c r="AK235" s="709">
        <f t="shared" si="239"/>
        <v>29360.82</v>
      </c>
      <c r="AL235" s="187"/>
      <c r="AM235" s="709">
        <f t="shared" si="240"/>
        <v>36645.26</v>
      </c>
      <c r="AN235" s="187"/>
      <c r="AO235" s="709">
        <f t="shared" si="241"/>
        <v>34889.949999999997</v>
      </c>
      <c r="AP235" s="187"/>
      <c r="AQ235" s="711">
        <f t="shared" si="259"/>
        <v>0</v>
      </c>
      <c r="AR235" s="709">
        <f t="shared" si="242"/>
        <v>35718.379999999997</v>
      </c>
      <c r="AS235" s="187"/>
      <c r="AT235" s="711">
        <f t="shared" si="260"/>
        <v>0</v>
      </c>
      <c r="AU235" s="712">
        <f t="shared" si="261"/>
        <v>19849607.41</v>
      </c>
      <c r="AV235" s="187"/>
      <c r="AW235" s="709">
        <f t="shared" si="243"/>
        <v>65258.22</v>
      </c>
      <c r="AX235" s="187"/>
      <c r="AY235" s="709">
        <f t="shared" si="244"/>
        <v>81192.94</v>
      </c>
      <c r="AZ235" s="187"/>
      <c r="BA235" s="709">
        <f t="shared" si="245"/>
        <v>77353.2</v>
      </c>
      <c r="BB235" s="187"/>
      <c r="BC235" s="711">
        <f t="shared" si="262"/>
        <v>0</v>
      </c>
      <c r="BD235" s="709">
        <f t="shared" si="246"/>
        <v>77787.27</v>
      </c>
      <c r="BE235" s="187"/>
      <c r="BF235" s="709">
        <f t="shared" si="247"/>
        <v>96908.93</v>
      </c>
      <c r="BG235" s="187"/>
      <c r="BH235" s="711">
        <f t="shared" si="263"/>
        <v>0</v>
      </c>
      <c r="BI235" s="713">
        <f t="shared" si="264"/>
        <v>0</v>
      </c>
      <c r="BJ235" s="709">
        <f t="shared" si="248"/>
        <v>25708.01</v>
      </c>
      <c r="BK235" s="187"/>
      <c r="BL235" s="709">
        <f t="shared" si="249"/>
        <v>27763.9</v>
      </c>
      <c r="BM235" s="187"/>
      <c r="BN235" s="709">
        <f t="shared" si="250"/>
        <v>23851.91</v>
      </c>
      <c r="BO235" s="187"/>
      <c r="BP235" s="711">
        <f t="shared" si="265"/>
        <v>0</v>
      </c>
      <c r="BQ235" s="709">
        <f t="shared" si="251"/>
        <v>42444.76</v>
      </c>
      <c r="BR235" s="187"/>
      <c r="BS235" s="709">
        <f t="shared" si="252"/>
        <v>46158.78</v>
      </c>
      <c r="BT235" s="187"/>
      <c r="BU235" s="709">
        <f t="shared" si="253"/>
        <v>39091.67</v>
      </c>
      <c r="BV235" s="187"/>
      <c r="BW235" s="1047">
        <f t="shared" si="266"/>
        <v>0</v>
      </c>
      <c r="BX235" s="187">
        <f t="shared" si="267"/>
        <v>548</v>
      </c>
      <c r="BY235" s="117">
        <f t="shared" si="268"/>
        <v>19849607.41</v>
      </c>
      <c r="BZ235" s="117"/>
    </row>
    <row r="236" spans="1:78" s="116" customFormat="1" ht="16.5">
      <c r="A236" s="376">
        <v>24</v>
      </c>
      <c r="B236" s="377" t="s">
        <v>578</v>
      </c>
      <c r="C236" s="378"/>
      <c r="D236" s="709">
        <f t="shared" si="225"/>
        <v>31250.82</v>
      </c>
      <c r="E236" s="187">
        <v>225</v>
      </c>
      <c r="F236" s="709">
        <f t="shared" si="226"/>
        <v>38535.26</v>
      </c>
      <c r="G236" s="187">
        <v>215</v>
      </c>
      <c r="H236" s="709">
        <f t="shared" si="227"/>
        <v>36779.949999999997</v>
      </c>
      <c r="I236" s="187">
        <v>46</v>
      </c>
      <c r="J236" s="711">
        <f t="shared" si="254"/>
        <v>17008393.100000001</v>
      </c>
      <c r="K236" s="709">
        <f t="shared" si="228"/>
        <v>35546.49</v>
      </c>
      <c r="L236" s="187"/>
      <c r="M236" s="709">
        <f t="shared" si="229"/>
        <v>43923.6</v>
      </c>
      <c r="N236" s="187"/>
      <c r="O236" s="709">
        <f t="shared" si="230"/>
        <v>41904.99</v>
      </c>
      <c r="P236" s="187"/>
      <c r="Q236" s="711">
        <f t="shared" si="255"/>
        <v>0</v>
      </c>
      <c r="R236" s="709">
        <f t="shared" si="231"/>
        <v>41274.050000000003</v>
      </c>
      <c r="S236" s="187"/>
      <c r="T236" s="709">
        <f t="shared" si="232"/>
        <v>51108.05</v>
      </c>
      <c r="U236" s="187"/>
      <c r="V236" s="709">
        <f t="shared" si="233"/>
        <v>48738.38</v>
      </c>
      <c r="W236" s="187"/>
      <c r="X236" s="711">
        <f t="shared" si="256"/>
        <v>0</v>
      </c>
      <c r="Y236" s="709">
        <f t="shared" si="234"/>
        <v>45569.73</v>
      </c>
      <c r="Z236" s="187"/>
      <c r="AA236" s="709">
        <f t="shared" si="235"/>
        <v>56496.39</v>
      </c>
      <c r="AB236" s="187"/>
      <c r="AC236" s="711">
        <f t="shared" si="257"/>
        <v>0</v>
      </c>
      <c r="AD236" s="709">
        <f t="shared" si="236"/>
        <v>54161.08</v>
      </c>
      <c r="AE236" s="187">
        <v>4</v>
      </c>
      <c r="AF236" s="709">
        <f t="shared" si="237"/>
        <v>67273.070000000007</v>
      </c>
      <c r="AG236" s="187">
        <v>3</v>
      </c>
      <c r="AH236" s="709">
        <f t="shared" si="238"/>
        <v>64113.51</v>
      </c>
      <c r="AI236" s="187"/>
      <c r="AJ236" s="711">
        <f t="shared" si="258"/>
        <v>418463.53</v>
      </c>
      <c r="AK236" s="709">
        <f t="shared" si="239"/>
        <v>29360.82</v>
      </c>
      <c r="AL236" s="187"/>
      <c r="AM236" s="709">
        <f t="shared" si="240"/>
        <v>36645.26</v>
      </c>
      <c r="AN236" s="187"/>
      <c r="AO236" s="709">
        <f t="shared" si="241"/>
        <v>34889.949999999997</v>
      </c>
      <c r="AP236" s="187"/>
      <c r="AQ236" s="711">
        <f t="shared" si="259"/>
        <v>0</v>
      </c>
      <c r="AR236" s="709">
        <f t="shared" si="242"/>
        <v>35718.379999999997</v>
      </c>
      <c r="AS236" s="187"/>
      <c r="AT236" s="711">
        <f t="shared" si="260"/>
        <v>0</v>
      </c>
      <c r="AU236" s="712">
        <f t="shared" si="261"/>
        <v>17426856.630000003</v>
      </c>
      <c r="AV236" s="187"/>
      <c r="AW236" s="709">
        <f t="shared" si="243"/>
        <v>65258.22</v>
      </c>
      <c r="AX236" s="187"/>
      <c r="AY236" s="709">
        <f t="shared" si="244"/>
        <v>81192.94</v>
      </c>
      <c r="AZ236" s="187"/>
      <c r="BA236" s="709">
        <f t="shared" si="245"/>
        <v>77353.2</v>
      </c>
      <c r="BB236" s="187"/>
      <c r="BC236" s="711">
        <f t="shared" si="262"/>
        <v>0</v>
      </c>
      <c r="BD236" s="709">
        <f t="shared" si="246"/>
        <v>77787.27</v>
      </c>
      <c r="BE236" s="187"/>
      <c r="BF236" s="709">
        <f t="shared" si="247"/>
        <v>96908.93</v>
      </c>
      <c r="BG236" s="187"/>
      <c r="BH236" s="711">
        <f t="shared" si="263"/>
        <v>0</v>
      </c>
      <c r="BI236" s="713">
        <f t="shared" si="264"/>
        <v>0</v>
      </c>
      <c r="BJ236" s="709">
        <f t="shared" si="248"/>
        <v>25708.01</v>
      </c>
      <c r="BK236" s="187"/>
      <c r="BL236" s="709">
        <f t="shared" si="249"/>
        <v>27763.9</v>
      </c>
      <c r="BM236" s="187"/>
      <c r="BN236" s="709">
        <f t="shared" si="250"/>
        <v>23851.91</v>
      </c>
      <c r="BO236" s="187"/>
      <c r="BP236" s="711">
        <f t="shared" si="265"/>
        <v>0</v>
      </c>
      <c r="BQ236" s="709">
        <f t="shared" si="251"/>
        <v>42444.76</v>
      </c>
      <c r="BR236" s="187"/>
      <c r="BS236" s="709">
        <f t="shared" si="252"/>
        <v>46158.78</v>
      </c>
      <c r="BT236" s="187"/>
      <c r="BU236" s="709">
        <f t="shared" si="253"/>
        <v>39091.67</v>
      </c>
      <c r="BV236" s="187"/>
      <c r="BW236" s="1047">
        <f t="shared" si="266"/>
        <v>0</v>
      </c>
      <c r="BX236" s="187">
        <f t="shared" si="267"/>
        <v>493</v>
      </c>
      <c r="BY236" s="117">
        <f t="shared" si="268"/>
        <v>17426856.630000003</v>
      </c>
      <c r="BZ236" s="117"/>
    </row>
    <row r="237" spans="1:78" s="116" customFormat="1" ht="16.5">
      <c r="A237" s="376">
        <v>25</v>
      </c>
      <c r="B237" s="377" t="s">
        <v>579</v>
      </c>
      <c r="C237" s="378"/>
      <c r="D237" s="709">
        <f t="shared" si="225"/>
        <v>31250.82</v>
      </c>
      <c r="E237" s="187">
        <v>325</v>
      </c>
      <c r="F237" s="709">
        <f t="shared" si="226"/>
        <v>38535.26</v>
      </c>
      <c r="G237" s="187">
        <v>360</v>
      </c>
      <c r="H237" s="709">
        <f t="shared" si="227"/>
        <v>36779.949999999997</v>
      </c>
      <c r="I237" s="187">
        <v>75</v>
      </c>
      <c r="J237" s="711">
        <f t="shared" si="254"/>
        <v>26787706.350000001</v>
      </c>
      <c r="K237" s="709">
        <f t="shared" si="228"/>
        <v>35546.49</v>
      </c>
      <c r="L237" s="187"/>
      <c r="M237" s="709">
        <f t="shared" si="229"/>
        <v>43923.6</v>
      </c>
      <c r="N237" s="187"/>
      <c r="O237" s="709">
        <f t="shared" si="230"/>
        <v>41904.99</v>
      </c>
      <c r="P237" s="187"/>
      <c r="Q237" s="711">
        <f t="shared" si="255"/>
        <v>0</v>
      </c>
      <c r="R237" s="709">
        <f t="shared" si="231"/>
        <v>41274.050000000003</v>
      </c>
      <c r="S237" s="187"/>
      <c r="T237" s="709">
        <f t="shared" si="232"/>
        <v>51108.05</v>
      </c>
      <c r="U237" s="187"/>
      <c r="V237" s="709">
        <f t="shared" si="233"/>
        <v>48738.38</v>
      </c>
      <c r="W237" s="187"/>
      <c r="X237" s="711">
        <f t="shared" si="256"/>
        <v>0</v>
      </c>
      <c r="Y237" s="709">
        <f t="shared" si="234"/>
        <v>45569.73</v>
      </c>
      <c r="Z237" s="187"/>
      <c r="AA237" s="709">
        <f t="shared" si="235"/>
        <v>56496.39</v>
      </c>
      <c r="AB237" s="187"/>
      <c r="AC237" s="711">
        <f t="shared" si="257"/>
        <v>0</v>
      </c>
      <c r="AD237" s="709">
        <f t="shared" si="236"/>
        <v>54161.08</v>
      </c>
      <c r="AE237" s="187">
        <v>2</v>
      </c>
      <c r="AF237" s="709">
        <f t="shared" si="237"/>
        <v>67273.070000000007</v>
      </c>
      <c r="AG237" s="187">
        <v>12</v>
      </c>
      <c r="AH237" s="709">
        <f t="shared" si="238"/>
        <v>64113.51</v>
      </c>
      <c r="AI237" s="187"/>
      <c r="AJ237" s="711">
        <f t="shared" si="258"/>
        <v>915599</v>
      </c>
      <c r="AK237" s="709">
        <f t="shared" si="239"/>
        <v>29360.82</v>
      </c>
      <c r="AL237" s="187"/>
      <c r="AM237" s="709">
        <f t="shared" si="240"/>
        <v>36645.26</v>
      </c>
      <c r="AN237" s="187"/>
      <c r="AO237" s="709">
        <f t="shared" si="241"/>
        <v>34889.949999999997</v>
      </c>
      <c r="AP237" s="187"/>
      <c r="AQ237" s="711">
        <f t="shared" si="259"/>
        <v>0</v>
      </c>
      <c r="AR237" s="709">
        <f t="shared" si="242"/>
        <v>35718.379999999997</v>
      </c>
      <c r="AS237" s="187"/>
      <c r="AT237" s="711">
        <f t="shared" si="260"/>
        <v>0</v>
      </c>
      <c r="AU237" s="712">
        <f t="shared" si="261"/>
        <v>27703305.350000001</v>
      </c>
      <c r="AV237" s="187"/>
      <c r="AW237" s="709">
        <f t="shared" si="243"/>
        <v>65258.22</v>
      </c>
      <c r="AX237" s="187"/>
      <c r="AY237" s="709">
        <f t="shared" si="244"/>
        <v>81192.94</v>
      </c>
      <c r="AZ237" s="187"/>
      <c r="BA237" s="709">
        <f t="shared" si="245"/>
        <v>77353.2</v>
      </c>
      <c r="BB237" s="187"/>
      <c r="BC237" s="711">
        <f t="shared" si="262"/>
        <v>0</v>
      </c>
      <c r="BD237" s="709">
        <f t="shared" si="246"/>
        <v>77787.27</v>
      </c>
      <c r="BE237" s="187"/>
      <c r="BF237" s="709">
        <f t="shared" si="247"/>
        <v>96908.93</v>
      </c>
      <c r="BG237" s="187"/>
      <c r="BH237" s="711">
        <f t="shared" si="263"/>
        <v>0</v>
      </c>
      <c r="BI237" s="713">
        <f t="shared" si="264"/>
        <v>0</v>
      </c>
      <c r="BJ237" s="709">
        <f t="shared" si="248"/>
        <v>25708.01</v>
      </c>
      <c r="BK237" s="187"/>
      <c r="BL237" s="709">
        <f t="shared" si="249"/>
        <v>27763.9</v>
      </c>
      <c r="BM237" s="187"/>
      <c r="BN237" s="709">
        <f t="shared" si="250"/>
        <v>23851.91</v>
      </c>
      <c r="BO237" s="187"/>
      <c r="BP237" s="711">
        <f t="shared" si="265"/>
        <v>0</v>
      </c>
      <c r="BQ237" s="709">
        <f t="shared" si="251"/>
        <v>42444.76</v>
      </c>
      <c r="BR237" s="187"/>
      <c r="BS237" s="709">
        <f t="shared" si="252"/>
        <v>46158.78</v>
      </c>
      <c r="BT237" s="187"/>
      <c r="BU237" s="709">
        <f t="shared" si="253"/>
        <v>39091.67</v>
      </c>
      <c r="BV237" s="187"/>
      <c r="BW237" s="1047">
        <f t="shared" si="266"/>
        <v>0</v>
      </c>
      <c r="BX237" s="187">
        <f t="shared" si="267"/>
        <v>774</v>
      </c>
      <c r="BY237" s="117">
        <f t="shared" si="268"/>
        <v>27703305.350000001</v>
      </c>
      <c r="BZ237" s="117"/>
    </row>
    <row r="238" spans="1:78" s="116" customFormat="1" ht="16.5">
      <c r="A238" s="376">
        <v>26</v>
      </c>
      <c r="B238" s="377" t="s">
        <v>580</v>
      </c>
      <c r="C238" s="378"/>
      <c r="D238" s="709">
        <f t="shared" si="225"/>
        <v>31250.82</v>
      </c>
      <c r="E238" s="187">
        <v>168</v>
      </c>
      <c r="F238" s="709">
        <f t="shared" si="226"/>
        <v>38535.26</v>
      </c>
      <c r="G238" s="187">
        <v>169</v>
      </c>
      <c r="H238" s="709">
        <f t="shared" si="227"/>
        <v>36779.949999999997</v>
      </c>
      <c r="I238" s="187">
        <v>52</v>
      </c>
      <c r="J238" s="711">
        <f t="shared" si="254"/>
        <v>13675154.1</v>
      </c>
      <c r="K238" s="709">
        <f t="shared" si="228"/>
        <v>35546.49</v>
      </c>
      <c r="L238" s="187">
        <v>116</v>
      </c>
      <c r="M238" s="709">
        <f t="shared" si="229"/>
        <v>43923.6</v>
      </c>
      <c r="N238" s="187">
        <v>120</v>
      </c>
      <c r="O238" s="709">
        <f t="shared" si="230"/>
        <v>41904.99</v>
      </c>
      <c r="P238" s="187">
        <v>27</v>
      </c>
      <c r="Q238" s="711">
        <f t="shared" si="255"/>
        <v>10525659.57</v>
      </c>
      <c r="R238" s="709">
        <f t="shared" si="231"/>
        <v>41274.050000000003</v>
      </c>
      <c r="S238" s="187"/>
      <c r="T238" s="709">
        <f t="shared" si="232"/>
        <v>51108.05</v>
      </c>
      <c r="U238" s="187"/>
      <c r="V238" s="709">
        <f t="shared" si="233"/>
        <v>48738.38</v>
      </c>
      <c r="W238" s="187"/>
      <c r="X238" s="711">
        <f t="shared" si="256"/>
        <v>0</v>
      </c>
      <c r="Y238" s="709">
        <f t="shared" si="234"/>
        <v>45569.73</v>
      </c>
      <c r="Z238" s="187"/>
      <c r="AA238" s="709">
        <f t="shared" si="235"/>
        <v>56496.39</v>
      </c>
      <c r="AB238" s="187">
        <v>14</v>
      </c>
      <c r="AC238" s="711">
        <f t="shared" si="257"/>
        <v>790949.46</v>
      </c>
      <c r="AD238" s="709">
        <f t="shared" si="236"/>
        <v>54161.08</v>
      </c>
      <c r="AE238" s="187">
        <v>1</v>
      </c>
      <c r="AF238" s="709">
        <f t="shared" si="237"/>
        <v>67273.070000000007</v>
      </c>
      <c r="AG238" s="187">
        <v>8</v>
      </c>
      <c r="AH238" s="709">
        <f t="shared" si="238"/>
        <v>64113.51</v>
      </c>
      <c r="AI238" s="187">
        <v>1</v>
      </c>
      <c r="AJ238" s="711">
        <f t="shared" si="258"/>
        <v>656459.15</v>
      </c>
      <c r="AK238" s="709">
        <f t="shared" si="239"/>
        <v>29360.82</v>
      </c>
      <c r="AL238" s="187"/>
      <c r="AM238" s="709">
        <f t="shared" si="240"/>
        <v>36645.26</v>
      </c>
      <c r="AN238" s="187"/>
      <c r="AO238" s="709">
        <f t="shared" si="241"/>
        <v>34889.949999999997</v>
      </c>
      <c r="AP238" s="187"/>
      <c r="AQ238" s="711">
        <f t="shared" si="259"/>
        <v>0</v>
      </c>
      <c r="AR238" s="709">
        <f t="shared" si="242"/>
        <v>35718.379999999997</v>
      </c>
      <c r="AS238" s="187"/>
      <c r="AT238" s="711">
        <f t="shared" si="260"/>
        <v>0</v>
      </c>
      <c r="AU238" s="712">
        <f t="shared" si="261"/>
        <v>25648222.280000001</v>
      </c>
      <c r="AV238" s="187"/>
      <c r="AW238" s="709">
        <f t="shared" si="243"/>
        <v>65258.22</v>
      </c>
      <c r="AX238" s="187"/>
      <c r="AY238" s="709">
        <f t="shared" si="244"/>
        <v>81192.94</v>
      </c>
      <c r="AZ238" s="187"/>
      <c r="BA238" s="709">
        <f t="shared" si="245"/>
        <v>77353.2</v>
      </c>
      <c r="BB238" s="187"/>
      <c r="BC238" s="711">
        <f t="shared" si="262"/>
        <v>0</v>
      </c>
      <c r="BD238" s="709">
        <f t="shared" si="246"/>
        <v>77787.27</v>
      </c>
      <c r="BE238" s="187"/>
      <c r="BF238" s="709">
        <f t="shared" si="247"/>
        <v>96908.93</v>
      </c>
      <c r="BG238" s="187"/>
      <c r="BH238" s="711">
        <f t="shared" si="263"/>
        <v>0</v>
      </c>
      <c r="BI238" s="713">
        <f t="shared" si="264"/>
        <v>0</v>
      </c>
      <c r="BJ238" s="709">
        <f t="shared" si="248"/>
        <v>25708.01</v>
      </c>
      <c r="BK238" s="187"/>
      <c r="BL238" s="709">
        <f t="shared" si="249"/>
        <v>27763.9</v>
      </c>
      <c r="BM238" s="187"/>
      <c r="BN238" s="709">
        <f t="shared" si="250"/>
        <v>23851.91</v>
      </c>
      <c r="BO238" s="187"/>
      <c r="BP238" s="711">
        <f t="shared" si="265"/>
        <v>0</v>
      </c>
      <c r="BQ238" s="709">
        <f t="shared" si="251"/>
        <v>42444.76</v>
      </c>
      <c r="BR238" s="187"/>
      <c r="BS238" s="709">
        <f t="shared" si="252"/>
        <v>46158.78</v>
      </c>
      <c r="BT238" s="187"/>
      <c r="BU238" s="709">
        <f t="shared" si="253"/>
        <v>39091.67</v>
      </c>
      <c r="BV238" s="187"/>
      <c r="BW238" s="1047">
        <f t="shared" si="266"/>
        <v>0</v>
      </c>
      <c r="BX238" s="187">
        <f t="shared" si="267"/>
        <v>676</v>
      </c>
      <c r="BY238" s="117">
        <f t="shared" si="268"/>
        <v>25648222.280000001</v>
      </c>
      <c r="BZ238" s="117"/>
    </row>
    <row r="239" spans="1:78" s="116" customFormat="1" ht="16.5">
      <c r="A239" s="376">
        <v>27</v>
      </c>
      <c r="B239" s="377" t="s">
        <v>581</v>
      </c>
      <c r="C239" s="378"/>
      <c r="D239" s="709">
        <f t="shared" si="225"/>
        <v>31250.82</v>
      </c>
      <c r="E239" s="187">
        <v>177</v>
      </c>
      <c r="F239" s="709">
        <f t="shared" si="226"/>
        <v>38535.26</v>
      </c>
      <c r="G239" s="187">
        <v>201</v>
      </c>
      <c r="H239" s="709">
        <f t="shared" si="227"/>
        <v>36779.949999999997</v>
      </c>
      <c r="I239" s="187">
        <v>50</v>
      </c>
      <c r="J239" s="711">
        <f t="shared" si="254"/>
        <v>15115979.9</v>
      </c>
      <c r="K239" s="709">
        <f t="shared" si="228"/>
        <v>35546.49</v>
      </c>
      <c r="L239" s="187"/>
      <c r="M239" s="709">
        <f t="shared" si="229"/>
        <v>43923.6</v>
      </c>
      <c r="N239" s="187"/>
      <c r="O239" s="709">
        <f t="shared" si="230"/>
        <v>41904.99</v>
      </c>
      <c r="P239" s="187"/>
      <c r="Q239" s="711">
        <f t="shared" si="255"/>
        <v>0</v>
      </c>
      <c r="R239" s="709">
        <f t="shared" si="231"/>
        <v>41274.050000000003</v>
      </c>
      <c r="S239" s="187"/>
      <c r="T239" s="709">
        <f t="shared" si="232"/>
        <v>51108.05</v>
      </c>
      <c r="U239" s="187"/>
      <c r="V239" s="709">
        <f t="shared" si="233"/>
        <v>48738.38</v>
      </c>
      <c r="W239" s="187"/>
      <c r="X239" s="711">
        <f t="shared" si="256"/>
        <v>0</v>
      </c>
      <c r="Y239" s="709">
        <f t="shared" si="234"/>
        <v>45569.73</v>
      </c>
      <c r="Z239" s="187"/>
      <c r="AA239" s="709">
        <f t="shared" si="235"/>
        <v>56496.39</v>
      </c>
      <c r="AB239" s="187"/>
      <c r="AC239" s="711">
        <f t="shared" si="257"/>
        <v>0</v>
      </c>
      <c r="AD239" s="709">
        <f t="shared" si="236"/>
        <v>54161.08</v>
      </c>
      <c r="AE239" s="187">
        <v>7</v>
      </c>
      <c r="AF239" s="709">
        <f t="shared" si="237"/>
        <v>67273.070000000007</v>
      </c>
      <c r="AG239" s="187">
        <v>14</v>
      </c>
      <c r="AH239" s="709">
        <f t="shared" si="238"/>
        <v>64113.51</v>
      </c>
      <c r="AI239" s="187">
        <v>1</v>
      </c>
      <c r="AJ239" s="711">
        <f t="shared" si="258"/>
        <v>1385064.05</v>
      </c>
      <c r="AK239" s="709">
        <f t="shared" si="239"/>
        <v>29360.82</v>
      </c>
      <c r="AL239" s="187"/>
      <c r="AM239" s="709">
        <f t="shared" si="240"/>
        <v>36645.26</v>
      </c>
      <c r="AN239" s="187"/>
      <c r="AO239" s="709">
        <f t="shared" si="241"/>
        <v>34889.949999999997</v>
      </c>
      <c r="AP239" s="187"/>
      <c r="AQ239" s="711">
        <f t="shared" si="259"/>
        <v>0</v>
      </c>
      <c r="AR239" s="709">
        <f t="shared" si="242"/>
        <v>35718.379999999997</v>
      </c>
      <c r="AS239" s="187"/>
      <c r="AT239" s="711">
        <f t="shared" si="260"/>
        <v>0</v>
      </c>
      <c r="AU239" s="712">
        <f t="shared" si="261"/>
        <v>16501043.950000001</v>
      </c>
      <c r="AV239" s="187"/>
      <c r="AW239" s="709">
        <f t="shared" si="243"/>
        <v>65258.22</v>
      </c>
      <c r="AX239" s="187"/>
      <c r="AY239" s="709">
        <f t="shared" si="244"/>
        <v>81192.94</v>
      </c>
      <c r="AZ239" s="187"/>
      <c r="BA239" s="709">
        <f t="shared" si="245"/>
        <v>77353.2</v>
      </c>
      <c r="BB239" s="187"/>
      <c r="BC239" s="711">
        <f t="shared" si="262"/>
        <v>0</v>
      </c>
      <c r="BD239" s="709">
        <f t="shared" si="246"/>
        <v>77787.27</v>
      </c>
      <c r="BE239" s="187"/>
      <c r="BF239" s="709">
        <f t="shared" si="247"/>
        <v>96908.93</v>
      </c>
      <c r="BG239" s="187"/>
      <c r="BH239" s="711">
        <f t="shared" si="263"/>
        <v>0</v>
      </c>
      <c r="BI239" s="713">
        <f t="shared" si="264"/>
        <v>0</v>
      </c>
      <c r="BJ239" s="709">
        <f t="shared" si="248"/>
        <v>25708.01</v>
      </c>
      <c r="BK239" s="187"/>
      <c r="BL239" s="709">
        <f t="shared" si="249"/>
        <v>27763.9</v>
      </c>
      <c r="BM239" s="187"/>
      <c r="BN239" s="709">
        <f t="shared" si="250"/>
        <v>23851.91</v>
      </c>
      <c r="BO239" s="187"/>
      <c r="BP239" s="711">
        <f t="shared" si="265"/>
        <v>0</v>
      </c>
      <c r="BQ239" s="709">
        <f t="shared" si="251"/>
        <v>42444.76</v>
      </c>
      <c r="BR239" s="187"/>
      <c r="BS239" s="709">
        <f t="shared" si="252"/>
        <v>46158.78</v>
      </c>
      <c r="BT239" s="187"/>
      <c r="BU239" s="709">
        <f t="shared" si="253"/>
        <v>39091.67</v>
      </c>
      <c r="BV239" s="187"/>
      <c r="BW239" s="1047">
        <f t="shared" si="266"/>
        <v>0</v>
      </c>
      <c r="BX239" s="187">
        <f t="shared" si="267"/>
        <v>450</v>
      </c>
      <c r="BY239" s="117">
        <f t="shared" si="268"/>
        <v>16501043.950000001</v>
      </c>
      <c r="BZ239" s="117"/>
    </row>
    <row r="240" spans="1:78" s="116" customFormat="1" ht="16.5">
      <c r="A240" s="376">
        <v>28</v>
      </c>
      <c r="B240" s="377" t="s">
        <v>582</v>
      </c>
      <c r="C240" s="378"/>
      <c r="D240" s="709">
        <f t="shared" si="225"/>
        <v>31250.82</v>
      </c>
      <c r="E240" s="187">
        <v>142</v>
      </c>
      <c r="F240" s="709">
        <f t="shared" si="226"/>
        <v>38535.26</v>
      </c>
      <c r="G240" s="187">
        <v>197</v>
      </c>
      <c r="H240" s="709">
        <f t="shared" si="227"/>
        <v>36779.949999999997</v>
      </c>
      <c r="I240" s="187">
        <v>36</v>
      </c>
      <c r="J240" s="711">
        <f t="shared" si="254"/>
        <v>13353140.859999999</v>
      </c>
      <c r="K240" s="709">
        <f t="shared" si="228"/>
        <v>35546.49</v>
      </c>
      <c r="L240" s="187"/>
      <c r="M240" s="709">
        <f t="shared" si="229"/>
        <v>43923.6</v>
      </c>
      <c r="N240" s="187"/>
      <c r="O240" s="709">
        <f t="shared" si="230"/>
        <v>41904.99</v>
      </c>
      <c r="P240" s="187"/>
      <c r="Q240" s="711">
        <f t="shared" si="255"/>
        <v>0</v>
      </c>
      <c r="R240" s="709">
        <f t="shared" si="231"/>
        <v>41274.050000000003</v>
      </c>
      <c r="S240" s="187"/>
      <c r="T240" s="709">
        <f t="shared" si="232"/>
        <v>51108.05</v>
      </c>
      <c r="U240" s="187"/>
      <c r="V240" s="709">
        <f t="shared" si="233"/>
        <v>48738.38</v>
      </c>
      <c r="W240" s="187"/>
      <c r="X240" s="711">
        <f t="shared" si="256"/>
        <v>0</v>
      </c>
      <c r="Y240" s="709">
        <f t="shared" si="234"/>
        <v>45569.73</v>
      </c>
      <c r="Z240" s="187">
        <v>5</v>
      </c>
      <c r="AA240" s="709">
        <f t="shared" si="235"/>
        <v>56496.39</v>
      </c>
      <c r="AB240" s="187"/>
      <c r="AC240" s="711">
        <f t="shared" si="257"/>
        <v>227848.65</v>
      </c>
      <c r="AD240" s="709">
        <f t="shared" si="236"/>
        <v>54161.08</v>
      </c>
      <c r="AE240" s="187">
        <v>1</v>
      </c>
      <c r="AF240" s="709">
        <f t="shared" si="237"/>
        <v>67273.070000000007</v>
      </c>
      <c r="AG240" s="187">
        <v>10</v>
      </c>
      <c r="AH240" s="709">
        <f t="shared" si="238"/>
        <v>64113.51</v>
      </c>
      <c r="AI240" s="187">
        <v>1</v>
      </c>
      <c r="AJ240" s="711">
        <f t="shared" si="258"/>
        <v>791005.29</v>
      </c>
      <c r="AK240" s="709">
        <f t="shared" si="239"/>
        <v>29360.82</v>
      </c>
      <c r="AL240" s="187"/>
      <c r="AM240" s="709">
        <f t="shared" si="240"/>
        <v>36645.26</v>
      </c>
      <c r="AN240" s="187"/>
      <c r="AO240" s="709">
        <f t="shared" si="241"/>
        <v>34889.949999999997</v>
      </c>
      <c r="AP240" s="187"/>
      <c r="AQ240" s="711">
        <f t="shared" si="259"/>
        <v>0</v>
      </c>
      <c r="AR240" s="709">
        <f t="shared" si="242"/>
        <v>35718.379999999997</v>
      </c>
      <c r="AS240" s="187"/>
      <c r="AT240" s="711">
        <f t="shared" si="260"/>
        <v>0</v>
      </c>
      <c r="AU240" s="712">
        <f t="shared" si="261"/>
        <v>14371994.799999999</v>
      </c>
      <c r="AV240" s="187"/>
      <c r="AW240" s="709">
        <f t="shared" si="243"/>
        <v>65258.22</v>
      </c>
      <c r="AX240" s="187"/>
      <c r="AY240" s="709">
        <f t="shared" si="244"/>
        <v>81192.94</v>
      </c>
      <c r="AZ240" s="187"/>
      <c r="BA240" s="709">
        <f t="shared" si="245"/>
        <v>77353.2</v>
      </c>
      <c r="BB240" s="187"/>
      <c r="BC240" s="711">
        <f t="shared" si="262"/>
        <v>0</v>
      </c>
      <c r="BD240" s="709">
        <f t="shared" si="246"/>
        <v>77787.27</v>
      </c>
      <c r="BE240" s="187"/>
      <c r="BF240" s="709">
        <f t="shared" si="247"/>
        <v>96908.93</v>
      </c>
      <c r="BG240" s="187"/>
      <c r="BH240" s="711">
        <f t="shared" si="263"/>
        <v>0</v>
      </c>
      <c r="BI240" s="713">
        <f t="shared" si="264"/>
        <v>0</v>
      </c>
      <c r="BJ240" s="709">
        <f t="shared" si="248"/>
        <v>25708.01</v>
      </c>
      <c r="BK240" s="187"/>
      <c r="BL240" s="709">
        <f t="shared" si="249"/>
        <v>27763.9</v>
      </c>
      <c r="BM240" s="187"/>
      <c r="BN240" s="709">
        <f t="shared" si="250"/>
        <v>23851.91</v>
      </c>
      <c r="BO240" s="187"/>
      <c r="BP240" s="711">
        <f t="shared" si="265"/>
        <v>0</v>
      </c>
      <c r="BQ240" s="709">
        <f t="shared" si="251"/>
        <v>42444.76</v>
      </c>
      <c r="BR240" s="187">
        <v>1</v>
      </c>
      <c r="BS240" s="709">
        <f t="shared" si="252"/>
        <v>46158.78</v>
      </c>
      <c r="BT240" s="187">
        <v>24</v>
      </c>
      <c r="BU240" s="709">
        <f t="shared" si="253"/>
        <v>39091.67</v>
      </c>
      <c r="BV240" s="187"/>
      <c r="BW240" s="1047">
        <f t="shared" si="266"/>
        <v>1150255.48</v>
      </c>
      <c r="BX240" s="187">
        <f t="shared" si="267"/>
        <v>417</v>
      </c>
      <c r="BY240" s="117">
        <f t="shared" si="268"/>
        <v>15522250.279999999</v>
      </c>
      <c r="BZ240" s="117"/>
    </row>
    <row r="241" spans="1:78" s="116" customFormat="1" ht="16.5">
      <c r="A241" s="376">
        <v>29</v>
      </c>
      <c r="B241" s="377" t="s">
        <v>583</v>
      </c>
      <c r="C241" s="378"/>
      <c r="D241" s="709">
        <f t="shared" si="225"/>
        <v>31250.82</v>
      </c>
      <c r="E241" s="1048">
        <v>187</v>
      </c>
      <c r="F241" s="709">
        <f t="shared" si="226"/>
        <v>38535.26</v>
      </c>
      <c r="G241" s="1048">
        <v>175</v>
      </c>
      <c r="H241" s="709">
        <f t="shared" si="227"/>
        <v>36779.949999999997</v>
      </c>
      <c r="I241" s="1048">
        <v>50</v>
      </c>
      <c r="J241" s="711">
        <f t="shared" si="254"/>
        <v>14426571.34</v>
      </c>
      <c r="K241" s="709">
        <f t="shared" si="228"/>
        <v>35546.49</v>
      </c>
      <c r="L241" s="1048">
        <v>26</v>
      </c>
      <c r="M241" s="709">
        <f t="shared" si="229"/>
        <v>43923.6</v>
      </c>
      <c r="N241" s="1048">
        <v>106</v>
      </c>
      <c r="O241" s="709">
        <f t="shared" si="230"/>
        <v>41904.99</v>
      </c>
      <c r="P241" s="1048"/>
      <c r="Q241" s="711">
        <f t="shared" si="255"/>
        <v>5580110.3399999999</v>
      </c>
      <c r="R241" s="709">
        <f t="shared" si="231"/>
        <v>41274.050000000003</v>
      </c>
      <c r="S241" s="1048"/>
      <c r="T241" s="709">
        <f t="shared" si="232"/>
        <v>51108.05</v>
      </c>
      <c r="U241" s="1048"/>
      <c r="V241" s="709">
        <f t="shared" si="233"/>
        <v>48738.38</v>
      </c>
      <c r="W241" s="1048"/>
      <c r="X241" s="711">
        <f t="shared" si="256"/>
        <v>0</v>
      </c>
      <c r="Y241" s="709">
        <f t="shared" si="234"/>
        <v>45569.73</v>
      </c>
      <c r="Z241" s="1048">
        <v>23</v>
      </c>
      <c r="AA241" s="709">
        <f t="shared" si="235"/>
        <v>56496.39</v>
      </c>
      <c r="AB241" s="1048"/>
      <c r="AC241" s="711">
        <f t="shared" si="257"/>
        <v>1048103.79</v>
      </c>
      <c r="AD241" s="709">
        <f t="shared" si="236"/>
        <v>54161.08</v>
      </c>
      <c r="AE241" s="1048">
        <v>3</v>
      </c>
      <c r="AF241" s="709">
        <f t="shared" si="237"/>
        <v>67273.070000000007</v>
      </c>
      <c r="AG241" s="1048">
        <v>13</v>
      </c>
      <c r="AH241" s="709">
        <f t="shared" si="238"/>
        <v>64113.51</v>
      </c>
      <c r="AI241" s="1048">
        <v>1</v>
      </c>
      <c r="AJ241" s="711">
        <f t="shared" si="258"/>
        <v>1101146.6599999999</v>
      </c>
      <c r="AK241" s="709">
        <f t="shared" si="239"/>
        <v>29360.82</v>
      </c>
      <c r="AL241" s="1048"/>
      <c r="AM241" s="709">
        <f t="shared" si="240"/>
        <v>36645.26</v>
      </c>
      <c r="AN241" s="1048"/>
      <c r="AO241" s="709">
        <f t="shared" si="241"/>
        <v>34889.949999999997</v>
      </c>
      <c r="AP241" s="1048"/>
      <c r="AQ241" s="711">
        <f t="shared" si="259"/>
        <v>0</v>
      </c>
      <c r="AR241" s="709">
        <f t="shared" si="242"/>
        <v>35718.379999999997</v>
      </c>
      <c r="AS241" s="1048"/>
      <c r="AT241" s="711">
        <f t="shared" si="260"/>
        <v>0</v>
      </c>
      <c r="AU241" s="712">
        <f t="shared" si="261"/>
        <v>22155932.129999999</v>
      </c>
      <c r="AV241" s="1056"/>
      <c r="AW241" s="709">
        <f t="shared" si="243"/>
        <v>65258.22</v>
      </c>
      <c r="AX241" s="1048"/>
      <c r="AY241" s="709">
        <f t="shared" si="244"/>
        <v>81192.94</v>
      </c>
      <c r="AZ241" s="1048"/>
      <c r="BA241" s="709">
        <f t="shared" si="245"/>
        <v>77353.2</v>
      </c>
      <c r="BB241" s="1048"/>
      <c r="BC241" s="711">
        <f t="shared" si="262"/>
        <v>0</v>
      </c>
      <c r="BD241" s="709">
        <f>BD243</f>
        <v>77787.27</v>
      </c>
      <c r="BE241" s="1048"/>
      <c r="BF241" s="709">
        <f t="shared" si="247"/>
        <v>96908.93</v>
      </c>
      <c r="BG241" s="1048"/>
      <c r="BH241" s="711">
        <f t="shared" si="263"/>
        <v>0</v>
      </c>
      <c r="BI241" s="713">
        <f t="shared" si="264"/>
        <v>0</v>
      </c>
      <c r="BJ241" s="709">
        <f t="shared" si="248"/>
        <v>25708.01</v>
      </c>
      <c r="BK241" s="1048"/>
      <c r="BL241" s="709">
        <f t="shared" si="249"/>
        <v>27763.9</v>
      </c>
      <c r="BM241" s="1048"/>
      <c r="BN241" s="709">
        <f t="shared" si="250"/>
        <v>23851.91</v>
      </c>
      <c r="BO241" s="1048"/>
      <c r="BP241" s="711">
        <f t="shared" si="265"/>
        <v>0</v>
      </c>
      <c r="BQ241" s="709">
        <f t="shared" si="251"/>
        <v>42444.76</v>
      </c>
      <c r="BR241" s="1048"/>
      <c r="BS241" s="709">
        <f t="shared" si="252"/>
        <v>46158.78</v>
      </c>
      <c r="BT241" s="1048"/>
      <c r="BU241" s="709">
        <f t="shared" si="253"/>
        <v>39091.67</v>
      </c>
      <c r="BV241" s="1048"/>
      <c r="BW241" s="1047">
        <f t="shared" si="266"/>
        <v>0</v>
      </c>
      <c r="BX241" s="187">
        <f t="shared" si="267"/>
        <v>584</v>
      </c>
      <c r="BY241" s="117">
        <f t="shared" si="268"/>
        <v>22155932.129999999</v>
      </c>
      <c r="BZ241" s="117"/>
    </row>
    <row r="242" spans="1:78" s="116" customFormat="1" ht="16.5">
      <c r="A242" s="376"/>
      <c r="B242" s="377" t="s">
        <v>676</v>
      </c>
      <c r="C242" s="378"/>
      <c r="D242" s="709">
        <f t="shared" si="225"/>
        <v>31250.82</v>
      </c>
      <c r="E242" s="1048">
        <v>67</v>
      </c>
      <c r="F242" s="709">
        <f t="shared" si="226"/>
        <v>38535.26</v>
      </c>
      <c r="G242" s="1048"/>
      <c r="H242" s="709">
        <f t="shared" si="227"/>
        <v>36779.949999999997</v>
      </c>
      <c r="I242" s="1048"/>
      <c r="J242" s="711">
        <f t="shared" si="254"/>
        <v>2093804.94</v>
      </c>
      <c r="K242" s="709">
        <f t="shared" si="228"/>
        <v>35546.49</v>
      </c>
      <c r="L242" s="1048"/>
      <c r="M242" s="709">
        <f t="shared" si="229"/>
        <v>43923.6</v>
      </c>
      <c r="N242" s="1048"/>
      <c r="O242" s="709">
        <f t="shared" si="230"/>
        <v>41904.99</v>
      </c>
      <c r="P242" s="1048"/>
      <c r="Q242" s="711">
        <f t="shared" si="255"/>
        <v>0</v>
      </c>
      <c r="R242" s="709">
        <f t="shared" si="231"/>
        <v>41274.050000000003</v>
      </c>
      <c r="S242" s="1048"/>
      <c r="T242" s="709">
        <f t="shared" si="232"/>
        <v>51108.05</v>
      </c>
      <c r="U242" s="1048"/>
      <c r="V242" s="709">
        <f t="shared" si="233"/>
        <v>48738.38</v>
      </c>
      <c r="W242" s="1048"/>
      <c r="X242" s="711">
        <f t="shared" si="256"/>
        <v>0</v>
      </c>
      <c r="Y242" s="709">
        <f t="shared" si="234"/>
        <v>45569.73</v>
      </c>
      <c r="Z242" s="1048"/>
      <c r="AA242" s="709">
        <f t="shared" si="235"/>
        <v>56496.39</v>
      </c>
      <c r="AB242" s="1048"/>
      <c r="AC242" s="711">
        <f t="shared" si="257"/>
        <v>0</v>
      </c>
      <c r="AD242" s="709">
        <f t="shared" si="236"/>
        <v>54161.08</v>
      </c>
      <c r="AE242" s="1048"/>
      <c r="AF242" s="709">
        <f t="shared" si="237"/>
        <v>67273.070000000007</v>
      </c>
      <c r="AG242" s="1048"/>
      <c r="AH242" s="709">
        <f t="shared" si="238"/>
        <v>64113.51</v>
      </c>
      <c r="AI242" s="1048"/>
      <c r="AJ242" s="711">
        <f t="shared" si="258"/>
        <v>0</v>
      </c>
      <c r="AK242" s="709">
        <f t="shared" si="239"/>
        <v>29360.82</v>
      </c>
      <c r="AL242" s="1048"/>
      <c r="AM242" s="709">
        <f t="shared" si="240"/>
        <v>36645.26</v>
      </c>
      <c r="AN242" s="1048"/>
      <c r="AO242" s="709">
        <f t="shared" si="241"/>
        <v>34889.949999999997</v>
      </c>
      <c r="AP242" s="1048"/>
      <c r="AQ242" s="711">
        <f>ROUND((AK242*AL242+AM242*AN242+AO242*AP242),2)</f>
        <v>0</v>
      </c>
      <c r="AR242" s="709">
        <f t="shared" si="242"/>
        <v>35718.379999999997</v>
      </c>
      <c r="AS242" s="1048"/>
      <c r="AT242" s="711">
        <f t="shared" si="260"/>
        <v>0</v>
      </c>
      <c r="AU242" s="712">
        <f t="shared" si="261"/>
        <v>2093804.94</v>
      </c>
      <c r="AV242" s="539">
        <v>2935156</v>
      </c>
      <c r="AW242" s="709">
        <f t="shared" si="243"/>
        <v>65258.22</v>
      </c>
      <c r="AX242" s="1048"/>
      <c r="AY242" s="709">
        <f t="shared" si="244"/>
        <v>81192.94</v>
      </c>
      <c r="AZ242" s="1048"/>
      <c r="BA242" s="709">
        <f t="shared" si="245"/>
        <v>77353.2</v>
      </c>
      <c r="BB242" s="1048"/>
      <c r="BC242" s="711">
        <f t="shared" si="262"/>
        <v>0</v>
      </c>
      <c r="BD242" s="709">
        <f>BD244</f>
        <v>77787.27</v>
      </c>
      <c r="BE242" s="1048"/>
      <c r="BF242" s="709">
        <f t="shared" si="247"/>
        <v>96908.93</v>
      </c>
      <c r="BG242" s="1048"/>
      <c r="BH242" s="711">
        <f t="shared" si="263"/>
        <v>0</v>
      </c>
      <c r="BI242" s="713">
        <f t="shared" si="264"/>
        <v>0</v>
      </c>
      <c r="BJ242" s="709">
        <f t="shared" si="248"/>
        <v>25708.01</v>
      </c>
      <c r="BK242" s="1048"/>
      <c r="BL242" s="709">
        <f t="shared" si="249"/>
        <v>27763.9</v>
      </c>
      <c r="BM242" s="1048"/>
      <c r="BN242" s="709">
        <f t="shared" si="250"/>
        <v>23851.91</v>
      </c>
      <c r="BO242" s="1048"/>
      <c r="BP242" s="711">
        <f t="shared" si="265"/>
        <v>0</v>
      </c>
      <c r="BQ242" s="709">
        <f t="shared" si="251"/>
        <v>42444.76</v>
      </c>
      <c r="BR242" s="1048"/>
      <c r="BS242" s="709">
        <f t="shared" si="252"/>
        <v>46158.78</v>
      </c>
      <c r="BT242" s="1048"/>
      <c r="BU242" s="709">
        <f t="shared" si="253"/>
        <v>39091.67</v>
      </c>
      <c r="BV242" s="1048"/>
      <c r="BW242" s="1047">
        <f t="shared" si="266"/>
        <v>0</v>
      </c>
      <c r="BX242" s="187">
        <f t="shared" si="267"/>
        <v>67</v>
      </c>
      <c r="BY242" s="1049">
        <v>2658840.06</v>
      </c>
      <c r="BZ242" s="117"/>
    </row>
    <row r="243" spans="1:78" s="116" customFormat="1" ht="16.5">
      <c r="A243" s="376">
        <v>30</v>
      </c>
      <c r="B243" s="377" t="s">
        <v>584</v>
      </c>
      <c r="C243" s="378"/>
      <c r="D243" s="709">
        <f t="shared" si="225"/>
        <v>31250.82</v>
      </c>
      <c r="E243" s="187">
        <v>179</v>
      </c>
      <c r="F243" s="709">
        <f t="shared" si="226"/>
        <v>38535.26</v>
      </c>
      <c r="G243" s="187">
        <v>175</v>
      </c>
      <c r="H243" s="709">
        <f t="shared" si="227"/>
        <v>36779.949999999997</v>
      </c>
      <c r="I243" s="187">
        <v>62</v>
      </c>
      <c r="J243" s="711">
        <f t="shared" si="254"/>
        <v>14617924.18</v>
      </c>
      <c r="K243" s="709">
        <f t="shared" si="228"/>
        <v>35546.49</v>
      </c>
      <c r="L243" s="187">
        <v>111</v>
      </c>
      <c r="M243" s="709">
        <f t="shared" si="229"/>
        <v>43923.6</v>
      </c>
      <c r="N243" s="187">
        <v>147</v>
      </c>
      <c r="O243" s="709">
        <f t="shared" si="230"/>
        <v>41904.99</v>
      </c>
      <c r="P243" s="187">
        <v>48</v>
      </c>
      <c r="Q243" s="711">
        <f t="shared" si="255"/>
        <v>12413869.109999999</v>
      </c>
      <c r="R243" s="709">
        <f t="shared" si="231"/>
        <v>41274.050000000003</v>
      </c>
      <c r="S243" s="187"/>
      <c r="T243" s="709">
        <f t="shared" si="232"/>
        <v>51108.05</v>
      </c>
      <c r="U243" s="187"/>
      <c r="V243" s="709">
        <f t="shared" si="233"/>
        <v>48738.38</v>
      </c>
      <c r="W243" s="187"/>
      <c r="X243" s="711">
        <f t="shared" si="256"/>
        <v>0</v>
      </c>
      <c r="Y243" s="709">
        <f t="shared" si="234"/>
        <v>45569.73</v>
      </c>
      <c r="Z243" s="187"/>
      <c r="AA243" s="709">
        <f t="shared" si="235"/>
        <v>56496.39</v>
      </c>
      <c r="AB243" s="187"/>
      <c r="AC243" s="711">
        <f t="shared" si="257"/>
        <v>0</v>
      </c>
      <c r="AD243" s="709">
        <f t="shared" si="236"/>
        <v>54161.08</v>
      </c>
      <c r="AE243" s="187">
        <v>3</v>
      </c>
      <c r="AF243" s="709">
        <f t="shared" si="237"/>
        <v>67273.070000000007</v>
      </c>
      <c r="AG243" s="187">
        <v>7</v>
      </c>
      <c r="AH243" s="709">
        <f t="shared" si="238"/>
        <v>64113.51</v>
      </c>
      <c r="AI243" s="187">
        <v>3</v>
      </c>
      <c r="AJ243" s="711">
        <f t="shared" si="258"/>
        <v>825735.26</v>
      </c>
      <c r="AK243" s="709">
        <f t="shared" si="239"/>
        <v>29360.82</v>
      </c>
      <c r="AL243" s="187"/>
      <c r="AM243" s="709">
        <f t="shared" si="240"/>
        <v>36645.26</v>
      </c>
      <c r="AN243" s="187"/>
      <c r="AO243" s="709">
        <f t="shared" si="241"/>
        <v>34889.949999999997</v>
      </c>
      <c r="AP243" s="187"/>
      <c r="AQ243" s="711">
        <f>ROUND((AK243*AL243+AM243*AN243+AO243*AP243),2)</f>
        <v>0</v>
      </c>
      <c r="AR243" s="709">
        <f t="shared" si="242"/>
        <v>35718.379999999997</v>
      </c>
      <c r="AS243" s="187"/>
      <c r="AT243" s="711">
        <f t="shared" si="260"/>
        <v>0</v>
      </c>
      <c r="AU243" s="712">
        <f t="shared" si="261"/>
        <v>27857528.549999997</v>
      </c>
      <c r="AV243" s="187"/>
      <c r="AW243" s="709">
        <f t="shared" si="243"/>
        <v>65258.22</v>
      </c>
      <c r="AX243" s="187"/>
      <c r="AY243" s="709">
        <f t="shared" si="244"/>
        <v>81192.94</v>
      </c>
      <c r="AZ243" s="187"/>
      <c r="BA243" s="709">
        <f t="shared" si="245"/>
        <v>77353.2</v>
      </c>
      <c r="BB243" s="187"/>
      <c r="BC243" s="711">
        <f t="shared" si="262"/>
        <v>0</v>
      </c>
      <c r="BD243" s="709">
        <f>BD245</f>
        <v>77787.27</v>
      </c>
      <c r="BE243" s="187"/>
      <c r="BF243" s="709">
        <f t="shared" si="247"/>
        <v>96908.93</v>
      </c>
      <c r="BG243" s="187"/>
      <c r="BH243" s="711">
        <f t="shared" si="263"/>
        <v>0</v>
      </c>
      <c r="BI243" s="713">
        <f t="shared" si="264"/>
        <v>0</v>
      </c>
      <c r="BJ243" s="709">
        <f t="shared" si="248"/>
        <v>25708.01</v>
      </c>
      <c r="BK243" s="187"/>
      <c r="BL243" s="709">
        <f t="shared" si="249"/>
        <v>27763.9</v>
      </c>
      <c r="BM243" s="187"/>
      <c r="BN243" s="709">
        <f t="shared" si="250"/>
        <v>23851.91</v>
      </c>
      <c r="BO243" s="187"/>
      <c r="BP243" s="711">
        <f t="shared" si="265"/>
        <v>0</v>
      </c>
      <c r="BQ243" s="709">
        <f t="shared" si="251"/>
        <v>42444.76</v>
      </c>
      <c r="BR243" s="187"/>
      <c r="BS243" s="709">
        <f t="shared" si="252"/>
        <v>46158.78</v>
      </c>
      <c r="BT243" s="187"/>
      <c r="BU243" s="709">
        <f t="shared" si="253"/>
        <v>39091.67</v>
      </c>
      <c r="BV243" s="187"/>
      <c r="BW243" s="1047">
        <f t="shared" si="266"/>
        <v>0</v>
      </c>
      <c r="BX243" s="187">
        <f t="shared" si="267"/>
        <v>735</v>
      </c>
      <c r="BY243" s="117">
        <f t="shared" si="268"/>
        <v>27857528.549999997</v>
      </c>
      <c r="BZ243" s="117"/>
    </row>
    <row r="244" spans="1:78" s="116" customFormat="1" ht="16.5">
      <c r="A244" s="376">
        <v>31</v>
      </c>
      <c r="B244" s="377" t="s">
        <v>585</v>
      </c>
      <c r="C244" s="378"/>
      <c r="D244" s="709">
        <f t="shared" si="225"/>
        <v>31250.82</v>
      </c>
      <c r="E244" s="187">
        <v>78</v>
      </c>
      <c r="F244" s="709">
        <f t="shared" si="226"/>
        <v>38535.26</v>
      </c>
      <c r="G244" s="187">
        <v>15</v>
      </c>
      <c r="H244" s="709">
        <f t="shared" si="227"/>
        <v>36779.949999999997</v>
      </c>
      <c r="I244" s="187">
        <v>51</v>
      </c>
      <c r="J244" s="711">
        <f t="shared" si="254"/>
        <v>4891370.3099999996</v>
      </c>
      <c r="K244" s="709">
        <f t="shared" si="228"/>
        <v>35546.49</v>
      </c>
      <c r="L244" s="187">
        <v>171</v>
      </c>
      <c r="M244" s="709">
        <f t="shared" si="229"/>
        <v>43923.6</v>
      </c>
      <c r="N244" s="187">
        <v>218</v>
      </c>
      <c r="O244" s="709">
        <f t="shared" si="230"/>
        <v>41904.99</v>
      </c>
      <c r="P244" s="187"/>
      <c r="Q244" s="711">
        <f t="shared" si="255"/>
        <v>15653794.59</v>
      </c>
      <c r="R244" s="709">
        <f t="shared" si="231"/>
        <v>41274.050000000003</v>
      </c>
      <c r="S244" s="187"/>
      <c r="T244" s="709">
        <f t="shared" si="232"/>
        <v>51108.05</v>
      </c>
      <c r="U244" s="187"/>
      <c r="V244" s="709">
        <f t="shared" si="233"/>
        <v>48738.38</v>
      </c>
      <c r="W244" s="187"/>
      <c r="X244" s="711">
        <f t="shared" si="256"/>
        <v>0</v>
      </c>
      <c r="Y244" s="709">
        <f t="shared" si="234"/>
        <v>45569.73</v>
      </c>
      <c r="Z244" s="187"/>
      <c r="AA244" s="709">
        <f t="shared" si="235"/>
        <v>56496.39</v>
      </c>
      <c r="AB244" s="187"/>
      <c r="AC244" s="711">
        <f t="shared" si="257"/>
        <v>0</v>
      </c>
      <c r="AD244" s="709">
        <f t="shared" si="236"/>
        <v>54161.08</v>
      </c>
      <c r="AE244" s="187">
        <v>10</v>
      </c>
      <c r="AF244" s="709">
        <f t="shared" si="237"/>
        <v>67273.070000000007</v>
      </c>
      <c r="AG244" s="187">
        <v>21</v>
      </c>
      <c r="AH244" s="709">
        <f t="shared" si="238"/>
        <v>64113.51</v>
      </c>
      <c r="AI244" s="187">
        <v>2</v>
      </c>
      <c r="AJ244" s="711">
        <f t="shared" si="258"/>
        <v>2082572.29</v>
      </c>
      <c r="AK244" s="709">
        <f t="shared" si="239"/>
        <v>29360.82</v>
      </c>
      <c r="AL244" s="187"/>
      <c r="AM244" s="709">
        <f t="shared" si="240"/>
        <v>36645.26</v>
      </c>
      <c r="AN244" s="187"/>
      <c r="AO244" s="709">
        <f t="shared" si="241"/>
        <v>34889.949999999997</v>
      </c>
      <c r="AP244" s="187"/>
      <c r="AQ244" s="711">
        <f t="shared" si="259"/>
        <v>0</v>
      </c>
      <c r="AR244" s="709">
        <f t="shared" si="242"/>
        <v>35718.379999999997</v>
      </c>
      <c r="AS244" s="187"/>
      <c r="AT244" s="711">
        <f t="shared" si="260"/>
        <v>0</v>
      </c>
      <c r="AU244" s="712">
        <f t="shared" si="261"/>
        <v>22627737.189999998</v>
      </c>
      <c r="AV244" s="187"/>
      <c r="AW244" s="709">
        <f t="shared" si="243"/>
        <v>65258.22</v>
      </c>
      <c r="AX244" s="187"/>
      <c r="AY244" s="709">
        <f t="shared" si="244"/>
        <v>81192.94</v>
      </c>
      <c r="AZ244" s="187"/>
      <c r="BA244" s="709">
        <f t="shared" si="245"/>
        <v>77353.2</v>
      </c>
      <c r="BB244" s="187"/>
      <c r="BC244" s="711">
        <f t="shared" si="262"/>
        <v>0</v>
      </c>
      <c r="BD244" s="709">
        <f>BD246</f>
        <v>77787.27</v>
      </c>
      <c r="BE244" s="187"/>
      <c r="BF244" s="709">
        <f t="shared" si="247"/>
        <v>96908.93</v>
      </c>
      <c r="BG244" s="187"/>
      <c r="BH244" s="711">
        <f t="shared" si="263"/>
        <v>0</v>
      </c>
      <c r="BI244" s="713">
        <f t="shared" si="264"/>
        <v>0</v>
      </c>
      <c r="BJ244" s="709">
        <f t="shared" si="248"/>
        <v>25708.01</v>
      </c>
      <c r="BK244" s="187"/>
      <c r="BL244" s="709">
        <f t="shared" si="249"/>
        <v>27763.9</v>
      </c>
      <c r="BM244" s="187"/>
      <c r="BN244" s="709">
        <f t="shared" si="250"/>
        <v>23851.91</v>
      </c>
      <c r="BO244" s="187"/>
      <c r="BP244" s="711">
        <f t="shared" si="265"/>
        <v>0</v>
      </c>
      <c r="BQ244" s="709">
        <f t="shared" si="251"/>
        <v>42444.76</v>
      </c>
      <c r="BR244" s="187"/>
      <c r="BS244" s="709">
        <f t="shared" si="252"/>
        <v>46158.78</v>
      </c>
      <c r="BT244" s="187">
        <v>48</v>
      </c>
      <c r="BU244" s="709">
        <f t="shared" si="253"/>
        <v>39091.67</v>
      </c>
      <c r="BV244" s="187">
        <v>47</v>
      </c>
      <c r="BW244" s="1047">
        <f t="shared" si="266"/>
        <v>4052929.93</v>
      </c>
      <c r="BX244" s="187">
        <f t="shared" si="267"/>
        <v>661</v>
      </c>
      <c r="BY244" s="117">
        <f t="shared" si="268"/>
        <v>26680667.119999997</v>
      </c>
      <c r="BZ244" s="117"/>
    </row>
    <row r="245" spans="1:78" s="116" customFormat="1" ht="16.5">
      <c r="A245" s="376">
        <v>32</v>
      </c>
      <c r="B245" s="377" t="s">
        <v>586</v>
      </c>
      <c r="C245" s="378"/>
      <c r="D245" s="709">
        <f t="shared" si="225"/>
        <v>31250.82</v>
      </c>
      <c r="E245" s="187">
        <v>203</v>
      </c>
      <c r="F245" s="709">
        <f t="shared" si="226"/>
        <v>38535.26</v>
      </c>
      <c r="G245" s="187">
        <v>227</v>
      </c>
      <c r="H245" s="709">
        <f t="shared" si="227"/>
        <v>36779.949999999997</v>
      </c>
      <c r="I245" s="187">
        <v>39</v>
      </c>
      <c r="J245" s="711">
        <f t="shared" si="254"/>
        <v>16525838.529999999</v>
      </c>
      <c r="K245" s="709">
        <f t="shared" si="228"/>
        <v>35546.49</v>
      </c>
      <c r="L245" s="187"/>
      <c r="M245" s="709">
        <f t="shared" si="229"/>
        <v>43923.6</v>
      </c>
      <c r="N245" s="187"/>
      <c r="O245" s="709">
        <f t="shared" si="230"/>
        <v>41904.99</v>
      </c>
      <c r="P245" s="187"/>
      <c r="Q245" s="711">
        <f t="shared" si="255"/>
        <v>0</v>
      </c>
      <c r="R245" s="709">
        <f t="shared" si="231"/>
        <v>41274.050000000003</v>
      </c>
      <c r="S245" s="187"/>
      <c r="T245" s="709">
        <f t="shared" si="232"/>
        <v>51108.05</v>
      </c>
      <c r="U245" s="187"/>
      <c r="V245" s="709">
        <f t="shared" si="233"/>
        <v>48738.38</v>
      </c>
      <c r="W245" s="187"/>
      <c r="X245" s="711">
        <f t="shared" si="256"/>
        <v>0</v>
      </c>
      <c r="Y245" s="709">
        <f t="shared" si="234"/>
        <v>45569.73</v>
      </c>
      <c r="Z245" s="187">
        <v>9</v>
      </c>
      <c r="AA245" s="709">
        <f t="shared" si="235"/>
        <v>56496.39</v>
      </c>
      <c r="AB245" s="187">
        <v>7</v>
      </c>
      <c r="AC245" s="711">
        <f t="shared" si="257"/>
        <v>805602.3</v>
      </c>
      <c r="AD245" s="709">
        <f t="shared" si="236"/>
        <v>54161.08</v>
      </c>
      <c r="AE245" s="187">
        <v>6</v>
      </c>
      <c r="AF245" s="709">
        <f t="shared" si="237"/>
        <v>67273.070000000007</v>
      </c>
      <c r="AG245" s="187">
        <v>5</v>
      </c>
      <c r="AH245" s="709">
        <f t="shared" si="238"/>
        <v>64113.51</v>
      </c>
      <c r="AI245" s="187">
        <v>1</v>
      </c>
      <c r="AJ245" s="711">
        <f t="shared" si="258"/>
        <v>725445.34</v>
      </c>
      <c r="AK245" s="709">
        <f t="shared" si="239"/>
        <v>29360.82</v>
      </c>
      <c r="AL245" s="187"/>
      <c r="AM245" s="709">
        <f t="shared" si="240"/>
        <v>36645.26</v>
      </c>
      <c r="AN245" s="187">
        <v>2</v>
      </c>
      <c r="AO245" s="709">
        <f t="shared" si="241"/>
        <v>34889.949999999997</v>
      </c>
      <c r="AP245" s="187">
        <v>4</v>
      </c>
      <c r="AQ245" s="711">
        <f t="shared" si="259"/>
        <v>212850.32</v>
      </c>
      <c r="AR245" s="709">
        <f t="shared" si="242"/>
        <v>35718.379999999997</v>
      </c>
      <c r="AS245" s="187"/>
      <c r="AT245" s="711">
        <f t="shared" si="260"/>
        <v>0</v>
      </c>
      <c r="AU245" s="712">
        <f t="shared" si="261"/>
        <v>18269736.489999998</v>
      </c>
      <c r="AV245" s="187"/>
      <c r="AW245" s="709">
        <f t="shared" si="243"/>
        <v>65258.22</v>
      </c>
      <c r="AX245" s="187"/>
      <c r="AY245" s="709">
        <f t="shared" si="244"/>
        <v>81192.94</v>
      </c>
      <c r="AZ245" s="187"/>
      <c r="BA245" s="709">
        <f t="shared" si="245"/>
        <v>77353.2</v>
      </c>
      <c r="BB245" s="187"/>
      <c r="BC245" s="711">
        <f t="shared" si="262"/>
        <v>0</v>
      </c>
      <c r="BD245" s="709">
        <f t="shared" si="246"/>
        <v>77787.27</v>
      </c>
      <c r="BE245" s="187"/>
      <c r="BF245" s="709">
        <f t="shared" si="247"/>
        <v>96908.93</v>
      </c>
      <c r="BG245" s="187"/>
      <c r="BH245" s="711">
        <f t="shared" si="263"/>
        <v>0</v>
      </c>
      <c r="BI245" s="713">
        <f t="shared" si="264"/>
        <v>0</v>
      </c>
      <c r="BJ245" s="709">
        <f t="shared" si="248"/>
        <v>25708.01</v>
      </c>
      <c r="BK245" s="187"/>
      <c r="BL245" s="709">
        <f t="shared" si="249"/>
        <v>27763.9</v>
      </c>
      <c r="BM245" s="187"/>
      <c r="BN245" s="709">
        <f t="shared" si="250"/>
        <v>23851.91</v>
      </c>
      <c r="BO245" s="187"/>
      <c r="BP245" s="711">
        <f t="shared" si="265"/>
        <v>0</v>
      </c>
      <c r="BQ245" s="709">
        <f t="shared" si="251"/>
        <v>42444.76</v>
      </c>
      <c r="BR245" s="187"/>
      <c r="BS245" s="709">
        <f t="shared" si="252"/>
        <v>46158.78</v>
      </c>
      <c r="BT245" s="187"/>
      <c r="BU245" s="709">
        <f t="shared" si="253"/>
        <v>39091.67</v>
      </c>
      <c r="BV245" s="187"/>
      <c r="BW245" s="1047">
        <f t="shared" si="266"/>
        <v>0</v>
      </c>
      <c r="BX245" s="187">
        <f t="shared" si="267"/>
        <v>503</v>
      </c>
      <c r="BY245" s="117">
        <f t="shared" si="268"/>
        <v>18269736.489999998</v>
      </c>
      <c r="BZ245" s="117"/>
    </row>
    <row r="246" spans="1:78" s="116" customFormat="1" ht="16.5">
      <c r="A246" s="376" t="s">
        <v>802</v>
      </c>
      <c r="B246" s="377" t="s">
        <v>587</v>
      </c>
      <c r="C246" s="378"/>
      <c r="D246" s="709">
        <f t="shared" si="225"/>
        <v>31250.82</v>
      </c>
      <c r="E246" s="187">
        <v>214</v>
      </c>
      <c r="F246" s="709">
        <f t="shared" si="226"/>
        <v>38535.26</v>
      </c>
      <c r="G246" s="187">
        <v>160</v>
      </c>
      <c r="H246" s="709">
        <f t="shared" si="227"/>
        <v>36779.949999999997</v>
      </c>
      <c r="I246" s="187">
        <v>48</v>
      </c>
      <c r="J246" s="711">
        <f t="shared" si="254"/>
        <v>14618754.68</v>
      </c>
      <c r="K246" s="709">
        <f t="shared" si="228"/>
        <v>35546.49</v>
      </c>
      <c r="L246" s="187"/>
      <c r="M246" s="709">
        <f t="shared" si="229"/>
        <v>43923.6</v>
      </c>
      <c r="N246" s="187">
        <v>51</v>
      </c>
      <c r="O246" s="709">
        <f t="shared" si="230"/>
        <v>41904.99</v>
      </c>
      <c r="P246" s="187"/>
      <c r="Q246" s="711">
        <f t="shared" si="255"/>
        <v>2240103.6</v>
      </c>
      <c r="R246" s="709">
        <f t="shared" si="231"/>
        <v>41274.050000000003</v>
      </c>
      <c r="S246" s="187"/>
      <c r="T246" s="709">
        <f t="shared" si="232"/>
        <v>51108.05</v>
      </c>
      <c r="U246" s="187"/>
      <c r="V246" s="709">
        <f t="shared" si="233"/>
        <v>48738.38</v>
      </c>
      <c r="W246" s="187"/>
      <c r="X246" s="711">
        <f t="shared" si="256"/>
        <v>0</v>
      </c>
      <c r="Y246" s="709">
        <f t="shared" si="234"/>
        <v>45569.73</v>
      </c>
      <c r="Z246" s="187"/>
      <c r="AA246" s="709">
        <f t="shared" si="235"/>
        <v>56496.39</v>
      </c>
      <c r="AB246" s="187"/>
      <c r="AC246" s="711">
        <f t="shared" si="257"/>
        <v>0</v>
      </c>
      <c r="AD246" s="709">
        <f t="shared" si="236"/>
        <v>54161.08</v>
      </c>
      <c r="AE246" s="187">
        <v>1</v>
      </c>
      <c r="AF246" s="709">
        <f t="shared" si="237"/>
        <v>67273.070000000007</v>
      </c>
      <c r="AG246" s="187">
        <v>6</v>
      </c>
      <c r="AH246" s="709">
        <f t="shared" si="238"/>
        <v>64113.51</v>
      </c>
      <c r="AI246" s="187"/>
      <c r="AJ246" s="711">
        <f t="shared" si="258"/>
        <v>457799.5</v>
      </c>
      <c r="AK246" s="709">
        <f t="shared" si="239"/>
        <v>29360.82</v>
      </c>
      <c r="AL246" s="187"/>
      <c r="AM246" s="709">
        <f t="shared" si="240"/>
        <v>36645.26</v>
      </c>
      <c r="AN246" s="187"/>
      <c r="AO246" s="709">
        <f t="shared" si="241"/>
        <v>34889.949999999997</v>
      </c>
      <c r="AP246" s="187"/>
      <c r="AQ246" s="711">
        <f t="shared" si="259"/>
        <v>0</v>
      </c>
      <c r="AR246" s="709">
        <f t="shared" si="242"/>
        <v>35718.379999999997</v>
      </c>
      <c r="AS246" s="187"/>
      <c r="AT246" s="711">
        <f t="shared" si="260"/>
        <v>0</v>
      </c>
      <c r="AU246" s="712">
        <f t="shared" si="261"/>
        <v>17316657.780000001</v>
      </c>
      <c r="AV246" s="187"/>
      <c r="AW246" s="709">
        <f t="shared" si="243"/>
        <v>65258.22</v>
      </c>
      <c r="AX246" s="187"/>
      <c r="AY246" s="709">
        <f t="shared" si="244"/>
        <v>81192.94</v>
      </c>
      <c r="AZ246" s="187"/>
      <c r="BA246" s="709">
        <f t="shared" si="245"/>
        <v>77353.2</v>
      </c>
      <c r="BB246" s="187"/>
      <c r="BC246" s="711">
        <f t="shared" si="262"/>
        <v>0</v>
      </c>
      <c r="BD246" s="709">
        <f t="shared" si="246"/>
        <v>77787.27</v>
      </c>
      <c r="BE246" s="187"/>
      <c r="BF246" s="709">
        <f t="shared" si="247"/>
        <v>96908.93</v>
      </c>
      <c r="BG246" s="187"/>
      <c r="BH246" s="711">
        <f t="shared" si="263"/>
        <v>0</v>
      </c>
      <c r="BI246" s="713">
        <f t="shared" si="264"/>
        <v>0</v>
      </c>
      <c r="BJ246" s="709">
        <f t="shared" si="248"/>
        <v>25708.01</v>
      </c>
      <c r="BK246" s="187"/>
      <c r="BL246" s="709">
        <f t="shared" si="249"/>
        <v>27763.9</v>
      </c>
      <c r="BM246" s="187"/>
      <c r="BN246" s="709">
        <f t="shared" si="250"/>
        <v>23851.91</v>
      </c>
      <c r="BO246" s="187"/>
      <c r="BP246" s="711">
        <f t="shared" si="265"/>
        <v>0</v>
      </c>
      <c r="BQ246" s="709">
        <f t="shared" si="251"/>
        <v>42444.76</v>
      </c>
      <c r="BR246" s="187"/>
      <c r="BS246" s="709">
        <f t="shared" si="252"/>
        <v>46158.78</v>
      </c>
      <c r="BT246" s="187"/>
      <c r="BU246" s="709">
        <f t="shared" si="253"/>
        <v>39091.67</v>
      </c>
      <c r="BV246" s="187"/>
      <c r="BW246" s="1047">
        <f t="shared" si="266"/>
        <v>0</v>
      </c>
      <c r="BX246" s="187">
        <f t="shared" si="267"/>
        <v>480</v>
      </c>
      <c r="BY246" s="117">
        <f t="shared" si="268"/>
        <v>17316657.780000001</v>
      </c>
      <c r="BZ246" s="117"/>
    </row>
    <row r="247" spans="1:78" s="116" customFormat="1" ht="16.5">
      <c r="A247" s="376">
        <v>34</v>
      </c>
      <c r="B247" s="377" t="s">
        <v>588</v>
      </c>
      <c r="C247" s="378"/>
      <c r="D247" s="709">
        <f t="shared" si="225"/>
        <v>31250.82</v>
      </c>
      <c r="E247" s="187">
        <v>218</v>
      </c>
      <c r="F247" s="709">
        <f t="shared" si="226"/>
        <v>38535.26</v>
      </c>
      <c r="G247" s="187">
        <v>214</v>
      </c>
      <c r="H247" s="709">
        <f t="shared" si="227"/>
        <v>36779.949999999997</v>
      </c>
      <c r="I247" s="187">
        <v>55</v>
      </c>
      <c r="J247" s="711">
        <f t="shared" si="254"/>
        <v>17082121.649999999</v>
      </c>
      <c r="K247" s="709">
        <f t="shared" si="228"/>
        <v>35546.49</v>
      </c>
      <c r="L247" s="187">
        <v>111</v>
      </c>
      <c r="M247" s="709">
        <f t="shared" si="229"/>
        <v>43923.6</v>
      </c>
      <c r="N247" s="187">
        <v>149</v>
      </c>
      <c r="O247" s="709">
        <f t="shared" si="230"/>
        <v>41904.99</v>
      </c>
      <c r="P247" s="187">
        <v>49</v>
      </c>
      <c r="Q247" s="711">
        <f t="shared" si="255"/>
        <v>12543621.300000001</v>
      </c>
      <c r="R247" s="709">
        <f t="shared" si="231"/>
        <v>41274.050000000003</v>
      </c>
      <c r="S247" s="187"/>
      <c r="T247" s="709">
        <f t="shared" si="232"/>
        <v>51108.05</v>
      </c>
      <c r="U247" s="187"/>
      <c r="V247" s="709">
        <f t="shared" si="233"/>
        <v>48738.38</v>
      </c>
      <c r="W247" s="187"/>
      <c r="X247" s="711">
        <f t="shared" si="256"/>
        <v>0</v>
      </c>
      <c r="Y247" s="709">
        <f t="shared" si="234"/>
        <v>45569.73</v>
      </c>
      <c r="Z247" s="187"/>
      <c r="AA247" s="709">
        <f t="shared" si="235"/>
        <v>56496.39</v>
      </c>
      <c r="AB247" s="187"/>
      <c r="AC247" s="711">
        <f t="shared" si="257"/>
        <v>0</v>
      </c>
      <c r="AD247" s="709">
        <f t="shared" si="236"/>
        <v>54161.08</v>
      </c>
      <c r="AE247" s="187"/>
      <c r="AF247" s="709">
        <f t="shared" si="237"/>
        <v>67273.070000000007</v>
      </c>
      <c r="AG247" s="187">
        <v>2</v>
      </c>
      <c r="AH247" s="709">
        <f t="shared" si="238"/>
        <v>64113.51</v>
      </c>
      <c r="AI247" s="187"/>
      <c r="AJ247" s="711">
        <f t="shared" si="258"/>
        <v>134546.14000000001</v>
      </c>
      <c r="AK247" s="709">
        <f t="shared" si="239"/>
        <v>29360.82</v>
      </c>
      <c r="AL247" s="187"/>
      <c r="AM247" s="709">
        <f t="shared" si="240"/>
        <v>36645.26</v>
      </c>
      <c r="AN247" s="187"/>
      <c r="AO247" s="709">
        <f t="shared" si="241"/>
        <v>34889.949999999997</v>
      </c>
      <c r="AP247" s="187"/>
      <c r="AQ247" s="711">
        <f t="shared" si="259"/>
        <v>0</v>
      </c>
      <c r="AR247" s="709">
        <f t="shared" si="242"/>
        <v>35718.379999999997</v>
      </c>
      <c r="AS247" s="187"/>
      <c r="AT247" s="711">
        <f t="shared" si="260"/>
        <v>0</v>
      </c>
      <c r="AU247" s="712">
        <f t="shared" si="261"/>
        <v>29760289.09</v>
      </c>
      <c r="AV247" s="187"/>
      <c r="AW247" s="709">
        <f t="shared" si="243"/>
        <v>65258.22</v>
      </c>
      <c r="AX247" s="187"/>
      <c r="AY247" s="709">
        <f t="shared" si="244"/>
        <v>81192.94</v>
      </c>
      <c r="AZ247" s="187"/>
      <c r="BA247" s="709">
        <f t="shared" si="245"/>
        <v>77353.2</v>
      </c>
      <c r="BB247" s="187"/>
      <c r="BC247" s="711">
        <f t="shared" si="262"/>
        <v>0</v>
      </c>
      <c r="BD247" s="709">
        <f t="shared" si="246"/>
        <v>77787.27</v>
      </c>
      <c r="BE247" s="187"/>
      <c r="BF247" s="709">
        <f t="shared" si="247"/>
        <v>96908.93</v>
      </c>
      <c r="BG247" s="187"/>
      <c r="BH247" s="711">
        <f t="shared" si="263"/>
        <v>0</v>
      </c>
      <c r="BI247" s="713">
        <f t="shared" si="264"/>
        <v>0</v>
      </c>
      <c r="BJ247" s="709">
        <f t="shared" si="248"/>
        <v>25708.01</v>
      </c>
      <c r="BK247" s="187"/>
      <c r="BL247" s="709">
        <f t="shared" si="249"/>
        <v>27763.9</v>
      </c>
      <c r="BM247" s="187"/>
      <c r="BN247" s="709">
        <f t="shared" si="250"/>
        <v>23851.91</v>
      </c>
      <c r="BO247" s="187"/>
      <c r="BP247" s="711">
        <f t="shared" si="265"/>
        <v>0</v>
      </c>
      <c r="BQ247" s="709">
        <f t="shared" si="251"/>
        <v>42444.76</v>
      </c>
      <c r="BR247" s="187"/>
      <c r="BS247" s="709">
        <f t="shared" si="252"/>
        <v>46158.78</v>
      </c>
      <c r="BT247" s="187"/>
      <c r="BU247" s="709">
        <f t="shared" si="253"/>
        <v>39091.67</v>
      </c>
      <c r="BV247" s="187"/>
      <c r="BW247" s="1047">
        <f t="shared" si="266"/>
        <v>0</v>
      </c>
      <c r="BX247" s="187">
        <f t="shared" si="267"/>
        <v>798</v>
      </c>
      <c r="BY247" s="117">
        <f t="shared" si="268"/>
        <v>29760289.09</v>
      </c>
      <c r="BZ247" s="117"/>
    </row>
    <row r="248" spans="1:78" s="116" customFormat="1" ht="16.5">
      <c r="A248" s="376" t="s">
        <v>803</v>
      </c>
      <c r="B248" s="377" t="s">
        <v>589</v>
      </c>
      <c r="C248" s="378"/>
      <c r="D248" s="709">
        <f t="shared" si="225"/>
        <v>31250.82</v>
      </c>
      <c r="E248" s="187">
        <v>254</v>
      </c>
      <c r="F248" s="709">
        <f t="shared" si="226"/>
        <v>38535.26</v>
      </c>
      <c r="G248" s="187">
        <v>189</v>
      </c>
      <c r="H248" s="709">
        <f t="shared" si="227"/>
        <v>36779.949999999997</v>
      </c>
      <c r="I248" s="187">
        <v>55</v>
      </c>
      <c r="J248" s="711">
        <f t="shared" si="254"/>
        <v>17243769.670000002</v>
      </c>
      <c r="K248" s="709">
        <f t="shared" si="228"/>
        <v>35546.49</v>
      </c>
      <c r="L248" s="187">
        <v>122</v>
      </c>
      <c r="M248" s="709">
        <f t="shared" si="229"/>
        <v>43923.6</v>
      </c>
      <c r="N248" s="187">
        <v>145</v>
      </c>
      <c r="O248" s="709">
        <f t="shared" si="230"/>
        <v>41904.99</v>
      </c>
      <c r="P248" s="187">
        <v>15</v>
      </c>
      <c r="Q248" s="711">
        <f t="shared" si="255"/>
        <v>11334168.630000001</v>
      </c>
      <c r="R248" s="709">
        <f t="shared" si="231"/>
        <v>41274.050000000003</v>
      </c>
      <c r="S248" s="187"/>
      <c r="T248" s="709">
        <f t="shared" si="232"/>
        <v>51108.05</v>
      </c>
      <c r="U248" s="187"/>
      <c r="V248" s="709">
        <f t="shared" si="233"/>
        <v>48738.38</v>
      </c>
      <c r="W248" s="187"/>
      <c r="X248" s="711">
        <f t="shared" si="256"/>
        <v>0</v>
      </c>
      <c r="Y248" s="709">
        <f t="shared" si="234"/>
        <v>45569.73</v>
      </c>
      <c r="Z248" s="187"/>
      <c r="AA248" s="709">
        <f t="shared" si="235"/>
        <v>56496.39</v>
      </c>
      <c r="AB248" s="187"/>
      <c r="AC248" s="711">
        <f t="shared" si="257"/>
        <v>0</v>
      </c>
      <c r="AD248" s="709">
        <f t="shared" si="236"/>
        <v>54161.08</v>
      </c>
      <c r="AE248" s="187"/>
      <c r="AF248" s="709">
        <f t="shared" si="237"/>
        <v>67273.070000000007</v>
      </c>
      <c r="AG248" s="187">
        <v>8</v>
      </c>
      <c r="AH248" s="709">
        <f t="shared" si="238"/>
        <v>64113.51</v>
      </c>
      <c r="AI248" s="187">
        <v>2</v>
      </c>
      <c r="AJ248" s="711">
        <f t="shared" si="258"/>
        <v>666411.57999999996</v>
      </c>
      <c r="AK248" s="709">
        <f t="shared" si="239"/>
        <v>29360.82</v>
      </c>
      <c r="AL248" s="187"/>
      <c r="AM248" s="709">
        <f t="shared" si="240"/>
        <v>36645.26</v>
      </c>
      <c r="AN248" s="187"/>
      <c r="AO248" s="709">
        <f t="shared" si="241"/>
        <v>34889.949999999997</v>
      </c>
      <c r="AP248" s="187"/>
      <c r="AQ248" s="711">
        <f t="shared" si="259"/>
        <v>0</v>
      </c>
      <c r="AR248" s="709">
        <f t="shared" si="242"/>
        <v>35718.379999999997</v>
      </c>
      <c r="AS248" s="187"/>
      <c r="AT248" s="711">
        <f t="shared" si="260"/>
        <v>0</v>
      </c>
      <c r="AU248" s="712">
        <f t="shared" si="261"/>
        <v>29244349.880000003</v>
      </c>
      <c r="AV248" s="187"/>
      <c r="AW248" s="709">
        <f t="shared" si="243"/>
        <v>65258.22</v>
      </c>
      <c r="AX248" s="187"/>
      <c r="AY248" s="709">
        <f t="shared" si="244"/>
        <v>81192.94</v>
      </c>
      <c r="AZ248" s="187"/>
      <c r="BA248" s="709">
        <f t="shared" si="245"/>
        <v>77353.2</v>
      </c>
      <c r="BB248" s="187"/>
      <c r="BC248" s="711">
        <f t="shared" si="262"/>
        <v>0</v>
      </c>
      <c r="BD248" s="709">
        <f t="shared" si="246"/>
        <v>77787.27</v>
      </c>
      <c r="BE248" s="187"/>
      <c r="BF248" s="709">
        <f t="shared" si="247"/>
        <v>96908.93</v>
      </c>
      <c r="BG248" s="187"/>
      <c r="BH248" s="711">
        <f t="shared" si="263"/>
        <v>0</v>
      </c>
      <c r="BI248" s="713">
        <f t="shared" si="264"/>
        <v>0</v>
      </c>
      <c r="BJ248" s="709">
        <f t="shared" si="248"/>
        <v>25708.01</v>
      </c>
      <c r="BK248" s="187"/>
      <c r="BL248" s="709">
        <f t="shared" si="249"/>
        <v>27763.9</v>
      </c>
      <c r="BM248" s="187"/>
      <c r="BN248" s="709">
        <f t="shared" si="250"/>
        <v>23851.91</v>
      </c>
      <c r="BO248" s="187"/>
      <c r="BP248" s="711">
        <f t="shared" si="265"/>
        <v>0</v>
      </c>
      <c r="BQ248" s="709">
        <f t="shared" si="251"/>
        <v>42444.76</v>
      </c>
      <c r="BR248" s="187"/>
      <c r="BS248" s="709">
        <f t="shared" si="252"/>
        <v>46158.78</v>
      </c>
      <c r="BT248" s="187"/>
      <c r="BU248" s="709">
        <f t="shared" si="253"/>
        <v>39091.67</v>
      </c>
      <c r="BV248" s="187"/>
      <c r="BW248" s="1047">
        <f t="shared" si="266"/>
        <v>0</v>
      </c>
      <c r="BX248" s="187">
        <f t="shared" si="267"/>
        <v>790</v>
      </c>
      <c r="BY248" s="117">
        <f t="shared" si="268"/>
        <v>29244349.880000003</v>
      </c>
      <c r="BZ248" s="117"/>
    </row>
    <row r="249" spans="1:78" s="116" customFormat="1" ht="16.5">
      <c r="A249" s="376">
        <v>36</v>
      </c>
      <c r="B249" s="377" t="s">
        <v>590</v>
      </c>
      <c r="C249" s="378"/>
      <c r="D249" s="709">
        <f t="shared" si="225"/>
        <v>31250.82</v>
      </c>
      <c r="E249" s="187">
        <v>219</v>
      </c>
      <c r="F249" s="709">
        <f t="shared" si="226"/>
        <v>38535.26</v>
      </c>
      <c r="G249" s="187">
        <v>200</v>
      </c>
      <c r="H249" s="709">
        <f t="shared" si="227"/>
        <v>36779.949999999997</v>
      </c>
      <c r="I249" s="187">
        <v>26</v>
      </c>
      <c r="J249" s="711">
        <f t="shared" si="254"/>
        <v>15507260.279999999</v>
      </c>
      <c r="K249" s="709">
        <f t="shared" si="228"/>
        <v>35546.49</v>
      </c>
      <c r="L249" s="187"/>
      <c r="M249" s="709">
        <f t="shared" si="229"/>
        <v>43923.6</v>
      </c>
      <c r="N249" s="187"/>
      <c r="O249" s="709">
        <f t="shared" si="230"/>
        <v>41904.99</v>
      </c>
      <c r="P249" s="187"/>
      <c r="Q249" s="711">
        <f t="shared" si="255"/>
        <v>0</v>
      </c>
      <c r="R249" s="709">
        <f t="shared" si="231"/>
        <v>41274.050000000003</v>
      </c>
      <c r="S249" s="187"/>
      <c r="T249" s="709">
        <f t="shared" si="232"/>
        <v>51108.05</v>
      </c>
      <c r="U249" s="187"/>
      <c r="V249" s="709">
        <f t="shared" si="233"/>
        <v>48738.38</v>
      </c>
      <c r="W249" s="187"/>
      <c r="X249" s="711">
        <f t="shared" si="256"/>
        <v>0</v>
      </c>
      <c r="Y249" s="709">
        <f t="shared" si="234"/>
        <v>45569.73</v>
      </c>
      <c r="Z249" s="187"/>
      <c r="AA249" s="709">
        <f t="shared" si="235"/>
        <v>56496.39</v>
      </c>
      <c r="AB249" s="187">
        <v>28</v>
      </c>
      <c r="AC249" s="711">
        <f t="shared" si="257"/>
        <v>1581898.92</v>
      </c>
      <c r="AD249" s="709">
        <f t="shared" si="236"/>
        <v>54161.08</v>
      </c>
      <c r="AE249" s="187">
        <v>3</v>
      </c>
      <c r="AF249" s="709">
        <f t="shared" si="237"/>
        <v>67273.070000000007</v>
      </c>
      <c r="AG249" s="187">
        <v>9</v>
      </c>
      <c r="AH249" s="709">
        <f t="shared" si="238"/>
        <v>64113.51</v>
      </c>
      <c r="AI249" s="187"/>
      <c r="AJ249" s="711">
        <f t="shared" si="258"/>
        <v>767940.87</v>
      </c>
      <c r="AK249" s="709">
        <f t="shared" si="239"/>
        <v>29360.82</v>
      </c>
      <c r="AL249" s="187"/>
      <c r="AM249" s="709">
        <f t="shared" si="240"/>
        <v>36645.26</v>
      </c>
      <c r="AN249" s="187"/>
      <c r="AO249" s="709">
        <f t="shared" si="241"/>
        <v>34889.949999999997</v>
      </c>
      <c r="AP249" s="187"/>
      <c r="AQ249" s="711">
        <f t="shared" si="259"/>
        <v>0</v>
      </c>
      <c r="AR249" s="709">
        <f t="shared" si="242"/>
        <v>35718.379999999997</v>
      </c>
      <c r="AS249" s="187"/>
      <c r="AT249" s="711">
        <f t="shared" si="260"/>
        <v>0</v>
      </c>
      <c r="AU249" s="712">
        <f t="shared" si="261"/>
        <v>17857100.07</v>
      </c>
      <c r="AV249" s="187"/>
      <c r="AW249" s="709">
        <f t="shared" si="243"/>
        <v>65258.22</v>
      </c>
      <c r="AX249" s="187"/>
      <c r="AY249" s="709">
        <f t="shared" si="244"/>
        <v>81192.94</v>
      </c>
      <c r="AZ249" s="187"/>
      <c r="BA249" s="709">
        <f t="shared" si="245"/>
        <v>77353.2</v>
      </c>
      <c r="BB249" s="187"/>
      <c r="BC249" s="711">
        <f t="shared" si="262"/>
        <v>0</v>
      </c>
      <c r="BD249" s="709">
        <f t="shared" si="246"/>
        <v>77787.27</v>
      </c>
      <c r="BE249" s="187"/>
      <c r="BF249" s="709">
        <f t="shared" si="247"/>
        <v>96908.93</v>
      </c>
      <c r="BG249" s="187"/>
      <c r="BH249" s="711">
        <f t="shared" si="263"/>
        <v>0</v>
      </c>
      <c r="BI249" s="713">
        <f t="shared" si="264"/>
        <v>0</v>
      </c>
      <c r="BJ249" s="709">
        <f t="shared" si="248"/>
        <v>25708.01</v>
      </c>
      <c r="BK249" s="187"/>
      <c r="BL249" s="709">
        <f t="shared" si="249"/>
        <v>27763.9</v>
      </c>
      <c r="BM249" s="187"/>
      <c r="BN249" s="709">
        <f t="shared" si="250"/>
        <v>23851.91</v>
      </c>
      <c r="BO249" s="187"/>
      <c r="BP249" s="711">
        <f t="shared" si="265"/>
        <v>0</v>
      </c>
      <c r="BQ249" s="709">
        <f t="shared" si="251"/>
        <v>42444.76</v>
      </c>
      <c r="BR249" s="187"/>
      <c r="BS249" s="709">
        <f t="shared" si="252"/>
        <v>46158.78</v>
      </c>
      <c r="BT249" s="187"/>
      <c r="BU249" s="709">
        <f t="shared" si="253"/>
        <v>39091.67</v>
      </c>
      <c r="BV249" s="187"/>
      <c r="BW249" s="1047">
        <f t="shared" si="266"/>
        <v>0</v>
      </c>
      <c r="BX249" s="187">
        <f t="shared" si="267"/>
        <v>485</v>
      </c>
      <c r="BY249" s="117">
        <f t="shared" si="268"/>
        <v>17857100.07</v>
      </c>
      <c r="BZ249" s="117"/>
    </row>
    <row r="250" spans="1:78" s="116" customFormat="1" ht="16.5">
      <c r="A250" s="376">
        <v>37</v>
      </c>
      <c r="B250" s="377" t="s">
        <v>591</v>
      </c>
      <c r="C250" s="378"/>
      <c r="D250" s="709">
        <f t="shared" si="225"/>
        <v>31250.82</v>
      </c>
      <c r="E250" s="187">
        <v>341</v>
      </c>
      <c r="F250" s="709">
        <f t="shared" si="226"/>
        <v>38535.26</v>
      </c>
      <c r="G250" s="187">
        <v>303</v>
      </c>
      <c r="H250" s="709">
        <f t="shared" si="227"/>
        <v>36779.949999999997</v>
      </c>
      <c r="I250" s="187">
        <v>29</v>
      </c>
      <c r="J250" s="711">
        <f t="shared" si="254"/>
        <v>23399331.949999999</v>
      </c>
      <c r="K250" s="709">
        <f t="shared" si="228"/>
        <v>35546.49</v>
      </c>
      <c r="L250" s="187">
        <v>176</v>
      </c>
      <c r="M250" s="709">
        <f t="shared" si="229"/>
        <v>43923.6</v>
      </c>
      <c r="N250" s="187">
        <v>330</v>
      </c>
      <c r="O250" s="709">
        <f t="shared" si="230"/>
        <v>41904.99</v>
      </c>
      <c r="P250" s="187">
        <v>112</v>
      </c>
      <c r="Q250" s="711">
        <f t="shared" si="255"/>
        <v>25444329.120000001</v>
      </c>
      <c r="R250" s="709">
        <f t="shared" si="231"/>
        <v>41274.050000000003</v>
      </c>
      <c r="S250" s="187"/>
      <c r="T250" s="709">
        <f t="shared" si="232"/>
        <v>51108.05</v>
      </c>
      <c r="U250" s="187"/>
      <c r="V250" s="709">
        <f t="shared" si="233"/>
        <v>48738.38</v>
      </c>
      <c r="W250" s="187"/>
      <c r="X250" s="711">
        <f t="shared" si="256"/>
        <v>0</v>
      </c>
      <c r="Y250" s="709">
        <f t="shared" si="234"/>
        <v>45569.73</v>
      </c>
      <c r="Z250" s="187"/>
      <c r="AA250" s="709">
        <f t="shared" si="235"/>
        <v>56496.39</v>
      </c>
      <c r="AB250" s="187"/>
      <c r="AC250" s="711">
        <f t="shared" si="257"/>
        <v>0</v>
      </c>
      <c r="AD250" s="709">
        <f t="shared" si="236"/>
        <v>54161.08</v>
      </c>
      <c r="AE250" s="187">
        <v>9</v>
      </c>
      <c r="AF250" s="709">
        <f t="shared" si="237"/>
        <v>67273.070000000007</v>
      </c>
      <c r="AG250" s="187">
        <v>11</v>
      </c>
      <c r="AH250" s="709">
        <f t="shared" si="238"/>
        <v>64113.51</v>
      </c>
      <c r="AI250" s="187"/>
      <c r="AJ250" s="711">
        <f t="shared" si="258"/>
        <v>1227453.49</v>
      </c>
      <c r="AK250" s="709">
        <f t="shared" si="239"/>
        <v>29360.82</v>
      </c>
      <c r="AL250" s="187"/>
      <c r="AM250" s="709">
        <f t="shared" si="240"/>
        <v>36645.26</v>
      </c>
      <c r="AN250" s="187"/>
      <c r="AO250" s="709">
        <f t="shared" si="241"/>
        <v>34889.949999999997</v>
      </c>
      <c r="AP250" s="187"/>
      <c r="AQ250" s="711">
        <f t="shared" si="259"/>
        <v>0</v>
      </c>
      <c r="AR250" s="709">
        <f t="shared" si="242"/>
        <v>35718.379999999997</v>
      </c>
      <c r="AS250" s="187"/>
      <c r="AT250" s="711">
        <f t="shared" si="260"/>
        <v>0</v>
      </c>
      <c r="AU250" s="712">
        <f t="shared" si="261"/>
        <v>50071114.560000002</v>
      </c>
      <c r="AV250" s="187"/>
      <c r="AW250" s="709">
        <f t="shared" si="243"/>
        <v>65258.22</v>
      </c>
      <c r="AX250" s="187"/>
      <c r="AY250" s="709">
        <f t="shared" si="244"/>
        <v>81192.94</v>
      </c>
      <c r="AZ250" s="187"/>
      <c r="BA250" s="709">
        <f t="shared" si="245"/>
        <v>77353.2</v>
      </c>
      <c r="BB250" s="187"/>
      <c r="BC250" s="711">
        <f t="shared" si="262"/>
        <v>0</v>
      </c>
      <c r="BD250" s="709">
        <f t="shared" si="246"/>
        <v>77787.27</v>
      </c>
      <c r="BE250" s="187"/>
      <c r="BF250" s="709">
        <f t="shared" si="247"/>
        <v>96908.93</v>
      </c>
      <c r="BG250" s="187"/>
      <c r="BH250" s="711">
        <f t="shared" si="263"/>
        <v>0</v>
      </c>
      <c r="BI250" s="713">
        <f t="shared" si="264"/>
        <v>0</v>
      </c>
      <c r="BJ250" s="709">
        <f t="shared" si="248"/>
        <v>25708.01</v>
      </c>
      <c r="BK250" s="187"/>
      <c r="BL250" s="709">
        <f t="shared" si="249"/>
        <v>27763.9</v>
      </c>
      <c r="BM250" s="187"/>
      <c r="BN250" s="709">
        <f t="shared" si="250"/>
        <v>23851.91</v>
      </c>
      <c r="BO250" s="187"/>
      <c r="BP250" s="711">
        <f t="shared" si="265"/>
        <v>0</v>
      </c>
      <c r="BQ250" s="709">
        <f t="shared" si="251"/>
        <v>42444.76</v>
      </c>
      <c r="BR250" s="187"/>
      <c r="BS250" s="709">
        <f t="shared" si="252"/>
        <v>46158.78</v>
      </c>
      <c r="BT250" s="187"/>
      <c r="BU250" s="709">
        <f t="shared" si="253"/>
        <v>39091.67</v>
      </c>
      <c r="BV250" s="187"/>
      <c r="BW250" s="1047">
        <f t="shared" si="266"/>
        <v>0</v>
      </c>
      <c r="BX250" s="187">
        <f t="shared" si="267"/>
        <v>1311</v>
      </c>
      <c r="BY250" s="117">
        <f t="shared" si="268"/>
        <v>50071114.560000002</v>
      </c>
      <c r="BZ250" s="117"/>
    </row>
    <row r="251" spans="1:78" s="116" customFormat="1" ht="16.5">
      <c r="A251" s="376">
        <v>38</v>
      </c>
      <c r="B251" s="377" t="s">
        <v>592</v>
      </c>
      <c r="C251" s="378"/>
      <c r="D251" s="709">
        <f t="shared" si="225"/>
        <v>31250.82</v>
      </c>
      <c r="E251" s="187">
        <v>361</v>
      </c>
      <c r="F251" s="709">
        <f t="shared" si="226"/>
        <v>38535.26</v>
      </c>
      <c r="G251" s="187">
        <v>425</v>
      </c>
      <c r="H251" s="709">
        <f t="shared" si="227"/>
        <v>36779.949999999997</v>
      </c>
      <c r="I251" s="187">
        <v>76</v>
      </c>
      <c r="J251" s="711">
        <f t="shared" si="254"/>
        <v>30454307.719999999</v>
      </c>
      <c r="K251" s="709">
        <f t="shared" si="228"/>
        <v>35546.49</v>
      </c>
      <c r="L251" s="187"/>
      <c r="M251" s="709">
        <f t="shared" si="229"/>
        <v>43923.6</v>
      </c>
      <c r="N251" s="187"/>
      <c r="O251" s="709">
        <f t="shared" si="230"/>
        <v>41904.99</v>
      </c>
      <c r="P251" s="187"/>
      <c r="Q251" s="711">
        <f t="shared" si="255"/>
        <v>0</v>
      </c>
      <c r="R251" s="709">
        <f t="shared" si="231"/>
        <v>41274.050000000003</v>
      </c>
      <c r="S251" s="187"/>
      <c r="T251" s="709">
        <f t="shared" si="232"/>
        <v>51108.05</v>
      </c>
      <c r="U251" s="187"/>
      <c r="V251" s="709">
        <f t="shared" si="233"/>
        <v>48738.38</v>
      </c>
      <c r="W251" s="187"/>
      <c r="X251" s="711">
        <f t="shared" si="256"/>
        <v>0</v>
      </c>
      <c r="Y251" s="709">
        <f t="shared" si="234"/>
        <v>45569.73</v>
      </c>
      <c r="Z251" s="187"/>
      <c r="AA251" s="709">
        <f t="shared" si="235"/>
        <v>56496.39</v>
      </c>
      <c r="AB251" s="187"/>
      <c r="AC251" s="711">
        <f t="shared" si="257"/>
        <v>0</v>
      </c>
      <c r="AD251" s="709">
        <f t="shared" si="236"/>
        <v>54161.08</v>
      </c>
      <c r="AE251" s="187">
        <v>8</v>
      </c>
      <c r="AF251" s="709">
        <f t="shared" si="237"/>
        <v>67273.070000000007</v>
      </c>
      <c r="AG251" s="187">
        <v>12</v>
      </c>
      <c r="AH251" s="709">
        <f t="shared" si="238"/>
        <v>64113.51</v>
      </c>
      <c r="AI251" s="187"/>
      <c r="AJ251" s="711">
        <f t="shared" si="258"/>
        <v>1240565.48</v>
      </c>
      <c r="AK251" s="709">
        <f t="shared" si="239"/>
        <v>29360.82</v>
      </c>
      <c r="AL251" s="187"/>
      <c r="AM251" s="709">
        <f t="shared" si="240"/>
        <v>36645.26</v>
      </c>
      <c r="AN251" s="187"/>
      <c r="AO251" s="709">
        <f t="shared" si="241"/>
        <v>34889.949999999997</v>
      </c>
      <c r="AP251" s="187"/>
      <c r="AQ251" s="711">
        <f t="shared" si="259"/>
        <v>0</v>
      </c>
      <c r="AR251" s="709">
        <f t="shared" si="242"/>
        <v>35718.379999999997</v>
      </c>
      <c r="AS251" s="187"/>
      <c r="AT251" s="711">
        <f t="shared" si="260"/>
        <v>0</v>
      </c>
      <c r="AU251" s="712">
        <f t="shared" si="261"/>
        <v>31694873.199999999</v>
      </c>
      <c r="AV251" s="187"/>
      <c r="AW251" s="709">
        <f t="shared" si="243"/>
        <v>65258.22</v>
      </c>
      <c r="AX251" s="187"/>
      <c r="AY251" s="709">
        <f t="shared" si="244"/>
        <v>81192.94</v>
      </c>
      <c r="AZ251" s="187"/>
      <c r="BA251" s="709">
        <f t="shared" si="245"/>
        <v>77353.2</v>
      </c>
      <c r="BB251" s="187"/>
      <c r="BC251" s="711">
        <f t="shared" si="262"/>
        <v>0</v>
      </c>
      <c r="BD251" s="709">
        <f t="shared" si="246"/>
        <v>77787.27</v>
      </c>
      <c r="BE251" s="187"/>
      <c r="BF251" s="709">
        <f t="shared" si="247"/>
        <v>96908.93</v>
      </c>
      <c r="BG251" s="187"/>
      <c r="BH251" s="711">
        <f t="shared" si="263"/>
        <v>0</v>
      </c>
      <c r="BI251" s="713">
        <f t="shared" si="264"/>
        <v>0</v>
      </c>
      <c r="BJ251" s="709">
        <f t="shared" si="248"/>
        <v>25708.01</v>
      </c>
      <c r="BK251" s="187"/>
      <c r="BL251" s="709">
        <f t="shared" si="249"/>
        <v>27763.9</v>
      </c>
      <c r="BM251" s="187"/>
      <c r="BN251" s="709">
        <f t="shared" si="250"/>
        <v>23851.91</v>
      </c>
      <c r="BO251" s="187"/>
      <c r="BP251" s="711">
        <f t="shared" si="265"/>
        <v>0</v>
      </c>
      <c r="BQ251" s="709">
        <f t="shared" si="251"/>
        <v>42444.76</v>
      </c>
      <c r="BR251" s="187"/>
      <c r="BS251" s="709">
        <f t="shared" si="252"/>
        <v>46158.78</v>
      </c>
      <c r="BT251" s="187"/>
      <c r="BU251" s="709">
        <f t="shared" si="253"/>
        <v>39091.67</v>
      </c>
      <c r="BV251" s="187"/>
      <c r="BW251" s="1047">
        <f t="shared" si="266"/>
        <v>0</v>
      </c>
      <c r="BX251" s="187">
        <f t="shared" si="267"/>
        <v>882</v>
      </c>
      <c r="BY251" s="117">
        <f t="shared" si="268"/>
        <v>31694873.199999999</v>
      </c>
      <c r="BZ251" s="117"/>
    </row>
    <row r="252" spans="1:78" s="116" customFormat="1" ht="16.5">
      <c r="A252" s="376">
        <v>39</v>
      </c>
      <c r="B252" s="377" t="s">
        <v>593</v>
      </c>
      <c r="C252" s="378"/>
      <c r="D252" s="709">
        <f t="shared" si="225"/>
        <v>31250.82</v>
      </c>
      <c r="E252" s="187">
        <v>265</v>
      </c>
      <c r="F252" s="709">
        <f t="shared" si="226"/>
        <v>38535.26</v>
      </c>
      <c r="G252" s="187">
        <v>211</v>
      </c>
      <c r="H252" s="709">
        <f t="shared" si="227"/>
        <v>36779.949999999997</v>
      </c>
      <c r="I252" s="187">
        <v>29</v>
      </c>
      <c r="J252" s="711">
        <f t="shared" si="254"/>
        <v>17479025.710000001</v>
      </c>
      <c r="K252" s="709">
        <f t="shared" si="228"/>
        <v>35546.49</v>
      </c>
      <c r="L252" s="187"/>
      <c r="M252" s="709">
        <f t="shared" si="229"/>
        <v>43923.6</v>
      </c>
      <c r="N252" s="187"/>
      <c r="O252" s="709">
        <f t="shared" si="230"/>
        <v>41904.99</v>
      </c>
      <c r="P252" s="187"/>
      <c r="Q252" s="711">
        <f t="shared" si="255"/>
        <v>0</v>
      </c>
      <c r="R252" s="709">
        <f t="shared" si="231"/>
        <v>41274.050000000003</v>
      </c>
      <c r="S252" s="187"/>
      <c r="T252" s="709">
        <f t="shared" si="232"/>
        <v>51108.05</v>
      </c>
      <c r="U252" s="187"/>
      <c r="V252" s="709">
        <f t="shared" si="233"/>
        <v>48738.38</v>
      </c>
      <c r="W252" s="187"/>
      <c r="X252" s="711">
        <f t="shared" si="256"/>
        <v>0</v>
      </c>
      <c r="Y252" s="709">
        <f t="shared" si="234"/>
        <v>45569.73</v>
      </c>
      <c r="Z252" s="187">
        <v>5</v>
      </c>
      <c r="AA252" s="709">
        <f t="shared" si="235"/>
        <v>56496.39</v>
      </c>
      <c r="AB252" s="187">
        <v>16</v>
      </c>
      <c r="AC252" s="711">
        <f t="shared" si="257"/>
        <v>1131790.8899999999</v>
      </c>
      <c r="AD252" s="709">
        <f t="shared" si="236"/>
        <v>54161.08</v>
      </c>
      <c r="AE252" s="187">
        <v>7</v>
      </c>
      <c r="AF252" s="709">
        <f t="shared" si="237"/>
        <v>67273.070000000007</v>
      </c>
      <c r="AG252" s="187">
        <v>18</v>
      </c>
      <c r="AH252" s="709">
        <f t="shared" si="238"/>
        <v>64113.51</v>
      </c>
      <c r="AI252" s="187">
        <v>1</v>
      </c>
      <c r="AJ252" s="711">
        <f t="shared" si="258"/>
        <v>1654156.33</v>
      </c>
      <c r="AK252" s="709">
        <f t="shared" si="239"/>
        <v>29360.82</v>
      </c>
      <c r="AL252" s="187"/>
      <c r="AM252" s="709">
        <f t="shared" si="240"/>
        <v>36645.26</v>
      </c>
      <c r="AN252" s="187"/>
      <c r="AO252" s="709">
        <f t="shared" si="241"/>
        <v>34889.949999999997</v>
      </c>
      <c r="AP252" s="187"/>
      <c r="AQ252" s="711">
        <f t="shared" si="259"/>
        <v>0</v>
      </c>
      <c r="AR252" s="709">
        <f t="shared" si="242"/>
        <v>35718.379999999997</v>
      </c>
      <c r="AS252" s="187"/>
      <c r="AT252" s="711">
        <f t="shared" si="260"/>
        <v>0</v>
      </c>
      <c r="AU252" s="712">
        <f t="shared" si="261"/>
        <v>20264972.93</v>
      </c>
      <c r="AV252" s="187"/>
      <c r="AW252" s="709">
        <f t="shared" si="243"/>
        <v>65258.22</v>
      </c>
      <c r="AX252" s="187"/>
      <c r="AY252" s="709">
        <f t="shared" si="244"/>
        <v>81192.94</v>
      </c>
      <c r="AZ252" s="187"/>
      <c r="BA252" s="709">
        <f t="shared" si="245"/>
        <v>77353.2</v>
      </c>
      <c r="BB252" s="187"/>
      <c r="BC252" s="711">
        <f t="shared" si="262"/>
        <v>0</v>
      </c>
      <c r="BD252" s="709">
        <f t="shared" si="246"/>
        <v>77787.27</v>
      </c>
      <c r="BE252" s="187"/>
      <c r="BF252" s="709">
        <f t="shared" si="247"/>
        <v>96908.93</v>
      </c>
      <c r="BG252" s="187"/>
      <c r="BH252" s="711">
        <f t="shared" si="263"/>
        <v>0</v>
      </c>
      <c r="BI252" s="713">
        <f t="shared" si="264"/>
        <v>0</v>
      </c>
      <c r="BJ252" s="709">
        <f t="shared" si="248"/>
        <v>25708.01</v>
      </c>
      <c r="BK252" s="187"/>
      <c r="BL252" s="709">
        <f t="shared" si="249"/>
        <v>27763.9</v>
      </c>
      <c r="BM252" s="187"/>
      <c r="BN252" s="709">
        <f t="shared" si="250"/>
        <v>23851.91</v>
      </c>
      <c r="BO252" s="187"/>
      <c r="BP252" s="711">
        <f t="shared" si="265"/>
        <v>0</v>
      </c>
      <c r="BQ252" s="709">
        <f t="shared" si="251"/>
        <v>42444.76</v>
      </c>
      <c r="BR252" s="187"/>
      <c r="BS252" s="709">
        <f t="shared" si="252"/>
        <v>46158.78</v>
      </c>
      <c r="BT252" s="187"/>
      <c r="BU252" s="709">
        <f t="shared" si="253"/>
        <v>39091.67</v>
      </c>
      <c r="BV252" s="187"/>
      <c r="BW252" s="1047">
        <f t="shared" si="266"/>
        <v>0</v>
      </c>
      <c r="BX252" s="187">
        <f t="shared" si="267"/>
        <v>552</v>
      </c>
      <c r="BY252" s="117">
        <f t="shared" si="268"/>
        <v>20264972.93</v>
      </c>
      <c r="BZ252" s="117"/>
    </row>
    <row r="253" spans="1:78" s="116" customFormat="1" ht="16.5">
      <c r="A253" s="376">
        <v>40</v>
      </c>
      <c r="B253" s="377" t="s">
        <v>594</v>
      </c>
      <c r="C253" s="378"/>
      <c r="D253" s="709">
        <f t="shared" si="225"/>
        <v>31250.82</v>
      </c>
      <c r="E253" s="187">
        <v>217</v>
      </c>
      <c r="F253" s="709">
        <f t="shared" si="226"/>
        <v>38535.26</v>
      </c>
      <c r="G253" s="187">
        <v>180</v>
      </c>
      <c r="H253" s="709">
        <f t="shared" si="227"/>
        <v>36779.949999999997</v>
      </c>
      <c r="I253" s="187">
        <v>63</v>
      </c>
      <c r="J253" s="711">
        <f t="shared" si="254"/>
        <v>16034911.59</v>
      </c>
      <c r="K253" s="709">
        <f t="shared" si="228"/>
        <v>35546.49</v>
      </c>
      <c r="L253" s="187"/>
      <c r="M253" s="709">
        <f t="shared" si="229"/>
        <v>43923.6</v>
      </c>
      <c r="N253" s="187"/>
      <c r="O253" s="709">
        <f t="shared" si="230"/>
        <v>41904.99</v>
      </c>
      <c r="P253" s="187"/>
      <c r="Q253" s="711">
        <f t="shared" si="255"/>
        <v>0</v>
      </c>
      <c r="R253" s="709">
        <f t="shared" si="231"/>
        <v>41274.050000000003</v>
      </c>
      <c r="S253" s="187"/>
      <c r="T253" s="709">
        <f t="shared" si="232"/>
        <v>51108.05</v>
      </c>
      <c r="U253" s="187"/>
      <c r="V253" s="709">
        <f t="shared" si="233"/>
        <v>48738.38</v>
      </c>
      <c r="W253" s="187"/>
      <c r="X253" s="711">
        <f t="shared" si="256"/>
        <v>0</v>
      </c>
      <c r="Y253" s="709">
        <f t="shared" si="234"/>
        <v>45569.73</v>
      </c>
      <c r="Z253" s="187"/>
      <c r="AA253" s="709">
        <f t="shared" si="235"/>
        <v>56496.39</v>
      </c>
      <c r="AB253" s="187"/>
      <c r="AC253" s="711">
        <f t="shared" si="257"/>
        <v>0</v>
      </c>
      <c r="AD253" s="709">
        <f t="shared" si="236"/>
        <v>54161.08</v>
      </c>
      <c r="AE253" s="187">
        <v>2</v>
      </c>
      <c r="AF253" s="709">
        <f t="shared" si="237"/>
        <v>67273.070000000007</v>
      </c>
      <c r="AG253" s="187">
        <v>3</v>
      </c>
      <c r="AH253" s="709">
        <f t="shared" si="238"/>
        <v>64113.51</v>
      </c>
      <c r="AI253" s="187"/>
      <c r="AJ253" s="711">
        <f t="shared" si="258"/>
        <v>310141.37</v>
      </c>
      <c r="AK253" s="709">
        <f t="shared" si="239"/>
        <v>29360.82</v>
      </c>
      <c r="AL253" s="187"/>
      <c r="AM253" s="709">
        <f t="shared" si="240"/>
        <v>36645.26</v>
      </c>
      <c r="AN253" s="187"/>
      <c r="AO253" s="709">
        <f t="shared" si="241"/>
        <v>34889.949999999997</v>
      </c>
      <c r="AP253" s="187"/>
      <c r="AQ253" s="711">
        <f t="shared" si="259"/>
        <v>0</v>
      </c>
      <c r="AR253" s="709">
        <f t="shared" si="242"/>
        <v>35718.379999999997</v>
      </c>
      <c r="AS253" s="187"/>
      <c r="AT253" s="711">
        <f t="shared" si="260"/>
        <v>0</v>
      </c>
      <c r="AU253" s="712">
        <f t="shared" si="261"/>
        <v>16345052.959999999</v>
      </c>
      <c r="AV253" s="187"/>
      <c r="AW253" s="709">
        <f t="shared" si="243"/>
        <v>65258.22</v>
      </c>
      <c r="AX253" s="187"/>
      <c r="AY253" s="709">
        <f t="shared" si="244"/>
        <v>81192.94</v>
      </c>
      <c r="AZ253" s="187"/>
      <c r="BA253" s="709">
        <f t="shared" si="245"/>
        <v>77353.2</v>
      </c>
      <c r="BB253" s="187"/>
      <c r="BC253" s="711">
        <f t="shared" si="262"/>
        <v>0</v>
      </c>
      <c r="BD253" s="709">
        <f t="shared" si="246"/>
        <v>77787.27</v>
      </c>
      <c r="BE253" s="187"/>
      <c r="BF253" s="709">
        <f t="shared" si="247"/>
        <v>96908.93</v>
      </c>
      <c r="BG253" s="187"/>
      <c r="BH253" s="711">
        <f t="shared" si="263"/>
        <v>0</v>
      </c>
      <c r="BI253" s="713">
        <f t="shared" si="264"/>
        <v>0</v>
      </c>
      <c r="BJ253" s="709">
        <f t="shared" si="248"/>
        <v>25708.01</v>
      </c>
      <c r="BK253" s="187"/>
      <c r="BL253" s="709">
        <f t="shared" si="249"/>
        <v>27763.9</v>
      </c>
      <c r="BM253" s="187"/>
      <c r="BN253" s="709">
        <f t="shared" si="250"/>
        <v>23851.91</v>
      </c>
      <c r="BO253" s="187"/>
      <c r="BP253" s="711">
        <f t="shared" si="265"/>
        <v>0</v>
      </c>
      <c r="BQ253" s="709">
        <f t="shared" si="251"/>
        <v>42444.76</v>
      </c>
      <c r="BR253" s="187"/>
      <c r="BS253" s="709">
        <f t="shared" si="252"/>
        <v>46158.78</v>
      </c>
      <c r="BT253" s="187"/>
      <c r="BU253" s="709">
        <f t="shared" si="253"/>
        <v>39091.67</v>
      </c>
      <c r="BV253" s="187"/>
      <c r="BW253" s="1047">
        <f t="shared" si="266"/>
        <v>0</v>
      </c>
      <c r="BX253" s="187">
        <f t="shared" si="267"/>
        <v>465</v>
      </c>
      <c r="BY253" s="117">
        <f t="shared" si="268"/>
        <v>16345052.959999999</v>
      </c>
      <c r="BZ253" s="117"/>
    </row>
    <row r="254" spans="1:78" s="116" customFormat="1" ht="16.5">
      <c r="A254" s="376">
        <v>41</v>
      </c>
      <c r="B254" s="377" t="s">
        <v>595</v>
      </c>
      <c r="C254" s="378"/>
      <c r="D254" s="709">
        <f t="shared" si="225"/>
        <v>31250.82</v>
      </c>
      <c r="E254" s="187">
        <v>271</v>
      </c>
      <c r="F254" s="709">
        <f t="shared" si="226"/>
        <v>38535.26</v>
      </c>
      <c r="G254" s="187">
        <v>280</v>
      </c>
      <c r="H254" s="709">
        <f t="shared" si="227"/>
        <v>36779.949999999997</v>
      </c>
      <c r="I254" s="187">
        <v>95</v>
      </c>
      <c r="J254" s="711">
        <f t="shared" si="254"/>
        <v>22752940.27</v>
      </c>
      <c r="K254" s="709">
        <f t="shared" si="228"/>
        <v>35546.49</v>
      </c>
      <c r="L254" s="187">
        <v>145</v>
      </c>
      <c r="M254" s="709">
        <f t="shared" si="229"/>
        <v>43923.6</v>
      </c>
      <c r="N254" s="187">
        <v>207</v>
      </c>
      <c r="O254" s="709">
        <f t="shared" si="230"/>
        <v>41904.99</v>
      </c>
      <c r="P254" s="187"/>
      <c r="Q254" s="711">
        <f t="shared" si="255"/>
        <v>14246426.25</v>
      </c>
      <c r="R254" s="709">
        <f t="shared" si="231"/>
        <v>41274.050000000003</v>
      </c>
      <c r="S254" s="187"/>
      <c r="T254" s="709">
        <f t="shared" si="232"/>
        <v>51108.05</v>
      </c>
      <c r="U254" s="187"/>
      <c r="V254" s="709">
        <f t="shared" si="233"/>
        <v>48738.38</v>
      </c>
      <c r="W254" s="187"/>
      <c r="X254" s="711">
        <f t="shared" si="256"/>
        <v>0</v>
      </c>
      <c r="Y254" s="709">
        <f t="shared" si="234"/>
        <v>45569.73</v>
      </c>
      <c r="Z254" s="187"/>
      <c r="AA254" s="709">
        <f t="shared" si="235"/>
        <v>56496.39</v>
      </c>
      <c r="AB254" s="187">
        <v>8</v>
      </c>
      <c r="AC254" s="711">
        <f t="shared" si="257"/>
        <v>451971.12</v>
      </c>
      <c r="AD254" s="709">
        <f t="shared" si="236"/>
        <v>54161.08</v>
      </c>
      <c r="AE254" s="187">
        <v>7</v>
      </c>
      <c r="AF254" s="709">
        <f t="shared" si="237"/>
        <v>67273.070000000007</v>
      </c>
      <c r="AG254" s="187">
        <v>27</v>
      </c>
      <c r="AH254" s="709">
        <f t="shared" si="238"/>
        <v>64113.51</v>
      </c>
      <c r="AI254" s="187">
        <v>2</v>
      </c>
      <c r="AJ254" s="711">
        <f t="shared" si="258"/>
        <v>2323727.4700000002</v>
      </c>
      <c r="AK254" s="709">
        <f t="shared" si="239"/>
        <v>29360.82</v>
      </c>
      <c r="AL254" s="187"/>
      <c r="AM254" s="709">
        <f t="shared" si="240"/>
        <v>36645.26</v>
      </c>
      <c r="AN254" s="187"/>
      <c r="AO254" s="709">
        <f t="shared" si="241"/>
        <v>34889.949999999997</v>
      </c>
      <c r="AP254" s="187"/>
      <c r="AQ254" s="711">
        <f t="shared" si="259"/>
        <v>0</v>
      </c>
      <c r="AR254" s="709">
        <f t="shared" si="242"/>
        <v>35718.379999999997</v>
      </c>
      <c r="AS254" s="187"/>
      <c r="AT254" s="711">
        <f t="shared" si="260"/>
        <v>0</v>
      </c>
      <c r="AU254" s="712">
        <f t="shared" si="261"/>
        <v>39775065.109999999</v>
      </c>
      <c r="AV254" s="187"/>
      <c r="AW254" s="709">
        <f t="shared" si="243"/>
        <v>65258.22</v>
      </c>
      <c r="AX254" s="187"/>
      <c r="AY254" s="709">
        <f t="shared" si="244"/>
        <v>81192.94</v>
      </c>
      <c r="AZ254" s="187"/>
      <c r="BA254" s="709">
        <f t="shared" si="245"/>
        <v>77353.2</v>
      </c>
      <c r="BB254" s="187"/>
      <c r="BC254" s="711">
        <f t="shared" si="262"/>
        <v>0</v>
      </c>
      <c r="BD254" s="709">
        <f t="shared" si="246"/>
        <v>77787.27</v>
      </c>
      <c r="BE254" s="187"/>
      <c r="BF254" s="709">
        <f t="shared" si="247"/>
        <v>96908.93</v>
      </c>
      <c r="BG254" s="187"/>
      <c r="BH254" s="711">
        <f t="shared" si="263"/>
        <v>0</v>
      </c>
      <c r="BI254" s="713">
        <f t="shared" si="264"/>
        <v>0</v>
      </c>
      <c r="BJ254" s="709">
        <f t="shared" si="248"/>
        <v>25708.01</v>
      </c>
      <c r="BK254" s="187"/>
      <c r="BL254" s="709">
        <f t="shared" si="249"/>
        <v>27763.9</v>
      </c>
      <c r="BM254" s="187"/>
      <c r="BN254" s="709">
        <f t="shared" si="250"/>
        <v>23851.91</v>
      </c>
      <c r="BO254" s="187"/>
      <c r="BP254" s="711">
        <f t="shared" si="265"/>
        <v>0</v>
      </c>
      <c r="BQ254" s="709">
        <f t="shared" si="251"/>
        <v>42444.76</v>
      </c>
      <c r="BR254" s="187"/>
      <c r="BS254" s="709">
        <f t="shared" si="252"/>
        <v>46158.78</v>
      </c>
      <c r="BT254" s="187"/>
      <c r="BU254" s="709">
        <f t="shared" si="253"/>
        <v>39091.67</v>
      </c>
      <c r="BV254" s="187"/>
      <c r="BW254" s="1047">
        <f t="shared" si="266"/>
        <v>0</v>
      </c>
      <c r="BX254" s="187">
        <f t="shared" si="267"/>
        <v>1042</v>
      </c>
      <c r="BY254" s="117">
        <f t="shared" si="268"/>
        <v>39775065.109999999</v>
      </c>
      <c r="BZ254" s="117"/>
    </row>
    <row r="255" spans="1:78" s="116" customFormat="1" ht="16.5">
      <c r="A255" s="376">
        <v>42</v>
      </c>
      <c r="B255" s="377" t="s">
        <v>596</v>
      </c>
      <c r="C255" s="378"/>
      <c r="D255" s="709">
        <f t="shared" si="225"/>
        <v>31250.82</v>
      </c>
      <c r="E255" s="187"/>
      <c r="F255" s="709">
        <f t="shared" si="226"/>
        <v>38535.26</v>
      </c>
      <c r="G255" s="187"/>
      <c r="H255" s="709">
        <f t="shared" si="227"/>
        <v>36779.949999999997</v>
      </c>
      <c r="I255" s="187"/>
      <c r="J255" s="711">
        <f t="shared" si="254"/>
        <v>0</v>
      </c>
      <c r="K255" s="709">
        <f t="shared" si="228"/>
        <v>35546.49</v>
      </c>
      <c r="L255" s="187"/>
      <c r="M255" s="709">
        <f t="shared" si="229"/>
        <v>43923.6</v>
      </c>
      <c r="N255" s="187"/>
      <c r="O255" s="709">
        <f t="shared" si="230"/>
        <v>41904.99</v>
      </c>
      <c r="P255" s="187"/>
      <c r="Q255" s="711">
        <f t="shared" si="255"/>
        <v>0</v>
      </c>
      <c r="R255" s="709">
        <f t="shared" si="231"/>
        <v>41274.050000000003</v>
      </c>
      <c r="S255" s="187">
        <v>235</v>
      </c>
      <c r="T255" s="709">
        <f t="shared" si="232"/>
        <v>51108.05</v>
      </c>
      <c r="U255" s="187">
        <v>292</v>
      </c>
      <c r="V255" s="709">
        <f t="shared" si="233"/>
        <v>48738.38</v>
      </c>
      <c r="W255" s="187">
        <v>129</v>
      </c>
      <c r="X255" s="711">
        <f t="shared" si="256"/>
        <v>30910203.370000001</v>
      </c>
      <c r="Y255" s="709">
        <f t="shared" si="234"/>
        <v>45569.73</v>
      </c>
      <c r="Z255" s="187"/>
      <c r="AA255" s="709">
        <f t="shared" si="235"/>
        <v>56496.39</v>
      </c>
      <c r="AB255" s="187"/>
      <c r="AC255" s="711">
        <f t="shared" si="257"/>
        <v>0</v>
      </c>
      <c r="AD255" s="709">
        <f t="shared" si="236"/>
        <v>54161.08</v>
      </c>
      <c r="AE255" s="187">
        <v>1</v>
      </c>
      <c r="AF255" s="709">
        <f t="shared" si="237"/>
        <v>67273.070000000007</v>
      </c>
      <c r="AG255" s="187"/>
      <c r="AH255" s="709">
        <f t="shared" si="238"/>
        <v>64113.51</v>
      </c>
      <c r="AI255" s="187"/>
      <c r="AJ255" s="711">
        <f t="shared" si="258"/>
        <v>54161.08</v>
      </c>
      <c r="AK255" s="709">
        <f t="shared" si="239"/>
        <v>29360.82</v>
      </c>
      <c r="AL255" s="187"/>
      <c r="AM255" s="709">
        <f t="shared" si="240"/>
        <v>36645.26</v>
      </c>
      <c r="AN255" s="187"/>
      <c r="AO255" s="709">
        <f t="shared" si="241"/>
        <v>34889.949999999997</v>
      </c>
      <c r="AP255" s="187"/>
      <c r="AQ255" s="711">
        <f t="shared" si="259"/>
        <v>0</v>
      </c>
      <c r="AR255" s="709">
        <f t="shared" si="242"/>
        <v>35718.379999999997</v>
      </c>
      <c r="AS255" s="187"/>
      <c r="AT255" s="711">
        <f t="shared" si="260"/>
        <v>0</v>
      </c>
      <c r="AU255" s="712">
        <f t="shared" si="261"/>
        <v>30964364.449999999</v>
      </c>
      <c r="AV255" s="187"/>
      <c r="AW255" s="709">
        <f t="shared" si="243"/>
        <v>65258.22</v>
      </c>
      <c r="AX255" s="187"/>
      <c r="AY255" s="709">
        <f t="shared" si="244"/>
        <v>81192.94</v>
      </c>
      <c r="AZ255" s="187"/>
      <c r="BA255" s="709">
        <f t="shared" si="245"/>
        <v>77353.2</v>
      </c>
      <c r="BB255" s="187"/>
      <c r="BC255" s="711">
        <f t="shared" si="262"/>
        <v>0</v>
      </c>
      <c r="BD255" s="709">
        <f t="shared" si="246"/>
        <v>77787.27</v>
      </c>
      <c r="BE255" s="187"/>
      <c r="BF255" s="709">
        <f t="shared" si="247"/>
        <v>96908.93</v>
      </c>
      <c r="BG255" s="187"/>
      <c r="BH255" s="711">
        <f t="shared" si="263"/>
        <v>0</v>
      </c>
      <c r="BI255" s="713">
        <f t="shared" si="264"/>
        <v>0</v>
      </c>
      <c r="BJ255" s="709">
        <f t="shared" si="248"/>
        <v>25708.01</v>
      </c>
      <c r="BK255" s="187"/>
      <c r="BL255" s="709">
        <f t="shared" si="249"/>
        <v>27763.9</v>
      </c>
      <c r="BM255" s="187"/>
      <c r="BN255" s="709">
        <f t="shared" si="250"/>
        <v>23851.91</v>
      </c>
      <c r="BO255" s="187"/>
      <c r="BP255" s="711">
        <f t="shared" si="265"/>
        <v>0</v>
      </c>
      <c r="BQ255" s="709">
        <f t="shared" si="251"/>
        <v>42444.76</v>
      </c>
      <c r="BR255" s="187"/>
      <c r="BS255" s="709">
        <f t="shared" si="252"/>
        <v>46158.78</v>
      </c>
      <c r="BT255" s="187"/>
      <c r="BU255" s="709">
        <f t="shared" si="253"/>
        <v>39091.67</v>
      </c>
      <c r="BV255" s="187"/>
      <c r="BW255" s="1047">
        <f t="shared" si="266"/>
        <v>0</v>
      </c>
      <c r="BX255" s="187">
        <f t="shared" si="267"/>
        <v>657</v>
      </c>
      <c r="BY255" s="117">
        <f t="shared" si="268"/>
        <v>30964364.449999999</v>
      </c>
      <c r="BZ255" s="117"/>
    </row>
    <row r="256" spans="1:78" s="116" customFormat="1" ht="16.5">
      <c r="A256" s="376">
        <v>43</v>
      </c>
      <c r="B256" s="377" t="s">
        <v>597</v>
      </c>
      <c r="C256" s="378"/>
      <c r="D256" s="709">
        <f t="shared" si="225"/>
        <v>31250.82</v>
      </c>
      <c r="E256" s="187">
        <v>208</v>
      </c>
      <c r="F256" s="709">
        <f t="shared" si="226"/>
        <v>38535.26</v>
      </c>
      <c r="G256" s="187">
        <v>191</v>
      </c>
      <c r="H256" s="709">
        <f t="shared" si="227"/>
        <v>36779.949999999997</v>
      </c>
      <c r="I256" s="187">
        <v>37</v>
      </c>
      <c r="J256" s="711">
        <f t="shared" si="254"/>
        <v>15221263.369999999</v>
      </c>
      <c r="K256" s="709">
        <f t="shared" si="228"/>
        <v>35546.49</v>
      </c>
      <c r="L256" s="187">
        <v>221</v>
      </c>
      <c r="M256" s="709">
        <f t="shared" si="229"/>
        <v>43923.6</v>
      </c>
      <c r="N256" s="187">
        <v>223</v>
      </c>
      <c r="O256" s="709">
        <f t="shared" si="230"/>
        <v>41904.99</v>
      </c>
      <c r="P256" s="187">
        <v>51</v>
      </c>
      <c r="Q256" s="711">
        <f t="shared" si="255"/>
        <v>19787891.579999998</v>
      </c>
      <c r="R256" s="709">
        <f t="shared" si="231"/>
        <v>41274.050000000003</v>
      </c>
      <c r="S256" s="187"/>
      <c r="T256" s="709">
        <f t="shared" si="232"/>
        <v>51108.05</v>
      </c>
      <c r="U256" s="187"/>
      <c r="V256" s="709">
        <f t="shared" si="233"/>
        <v>48738.38</v>
      </c>
      <c r="W256" s="187"/>
      <c r="X256" s="711">
        <f t="shared" si="256"/>
        <v>0</v>
      </c>
      <c r="Y256" s="709">
        <f t="shared" si="234"/>
        <v>45569.73</v>
      </c>
      <c r="Z256" s="187"/>
      <c r="AA256" s="709">
        <f t="shared" si="235"/>
        <v>56496.39</v>
      </c>
      <c r="AB256" s="187"/>
      <c r="AC256" s="711">
        <f t="shared" si="257"/>
        <v>0</v>
      </c>
      <c r="AD256" s="709">
        <f t="shared" si="236"/>
        <v>54161.08</v>
      </c>
      <c r="AE256" s="187">
        <v>10</v>
      </c>
      <c r="AF256" s="709">
        <f t="shared" si="237"/>
        <v>67273.070000000007</v>
      </c>
      <c r="AG256" s="187">
        <v>15</v>
      </c>
      <c r="AH256" s="709">
        <f t="shared" si="238"/>
        <v>64113.51</v>
      </c>
      <c r="AI256" s="187">
        <v>5</v>
      </c>
      <c r="AJ256" s="711">
        <f t="shared" si="258"/>
        <v>1871274.4</v>
      </c>
      <c r="AK256" s="709">
        <f t="shared" si="239"/>
        <v>29360.82</v>
      </c>
      <c r="AL256" s="187"/>
      <c r="AM256" s="709">
        <f t="shared" si="240"/>
        <v>36645.26</v>
      </c>
      <c r="AN256" s="187"/>
      <c r="AO256" s="709">
        <f t="shared" si="241"/>
        <v>34889.949999999997</v>
      </c>
      <c r="AP256" s="187"/>
      <c r="AQ256" s="711">
        <f t="shared" si="259"/>
        <v>0</v>
      </c>
      <c r="AR256" s="709">
        <f t="shared" si="242"/>
        <v>35718.379999999997</v>
      </c>
      <c r="AS256" s="187"/>
      <c r="AT256" s="711">
        <f t="shared" si="260"/>
        <v>0</v>
      </c>
      <c r="AU256" s="712">
        <f t="shared" si="261"/>
        <v>36880429.349999994</v>
      </c>
      <c r="AV256" s="187"/>
      <c r="AW256" s="709">
        <f t="shared" si="243"/>
        <v>65258.22</v>
      </c>
      <c r="AX256" s="187"/>
      <c r="AY256" s="709">
        <f t="shared" si="244"/>
        <v>81192.94</v>
      </c>
      <c r="AZ256" s="187"/>
      <c r="BA256" s="709">
        <f t="shared" si="245"/>
        <v>77353.2</v>
      </c>
      <c r="BB256" s="187"/>
      <c r="BC256" s="711">
        <f t="shared" si="262"/>
        <v>0</v>
      </c>
      <c r="BD256" s="709">
        <f t="shared" si="246"/>
        <v>77787.27</v>
      </c>
      <c r="BE256" s="187"/>
      <c r="BF256" s="709">
        <f t="shared" si="247"/>
        <v>96908.93</v>
      </c>
      <c r="BG256" s="187"/>
      <c r="BH256" s="711">
        <f t="shared" si="263"/>
        <v>0</v>
      </c>
      <c r="BI256" s="713">
        <f t="shared" si="264"/>
        <v>0</v>
      </c>
      <c r="BJ256" s="709">
        <f t="shared" si="248"/>
        <v>25708.01</v>
      </c>
      <c r="BK256" s="187"/>
      <c r="BL256" s="709">
        <f t="shared" si="249"/>
        <v>27763.9</v>
      </c>
      <c r="BM256" s="187"/>
      <c r="BN256" s="709">
        <f t="shared" si="250"/>
        <v>23851.91</v>
      </c>
      <c r="BO256" s="187"/>
      <c r="BP256" s="711">
        <f t="shared" si="265"/>
        <v>0</v>
      </c>
      <c r="BQ256" s="709">
        <f t="shared" si="251"/>
        <v>42444.76</v>
      </c>
      <c r="BR256" s="187"/>
      <c r="BS256" s="709">
        <f t="shared" si="252"/>
        <v>46158.78</v>
      </c>
      <c r="BT256" s="187"/>
      <c r="BU256" s="709">
        <f t="shared" si="253"/>
        <v>39091.67</v>
      </c>
      <c r="BV256" s="187"/>
      <c r="BW256" s="1047">
        <f t="shared" si="266"/>
        <v>0</v>
      </c>
      <c r="BX256" s="187">
        <f t="shared" si="267"/>
        <v>961</v>
      </c>
      <c r="BY256" s="117">
        <f t="shared" si="268"/>
        <v>36880429.349999994</v>
      </c>
      <c r="BZ256" s="117"/>
    </row>
    <row r="257" spans="1:78" s="116" customFormat="1" ht="16.5">
      <c r="A257" s="376">
        <v>44</v>
      </c>
      <c r="B257" s="377" t="s">
        <v>598</v>
      </c>
      <c r="C257" s="378"/>
      <c r="D257" s="709">
        <f t="shared" si="225"/>
        <v>31250.82</v>
      </c>
      <c r="E257" s="187">
        <v>178</v>
      </c>
      <c r="F257" s="709">
        <f t="shared" si="226"/>
        <v>38535.26</v>
      </c>
      <c r="G257" s="187">
        <v>210</v>
      </c>
      <c r="H257" s="709">
        <f t="shared" si="227"/>
        <v>36779.949999999997</v>
      </c>
      <c r="I257" s="187">
        <v>42</v>
      </c>
      <c r="J257" s="711">
        <f t="shared" si="254"/>
        <v>15199808.460000001</v>
      </c>
      <c r="K257" s="709">
        <f t="shared" si="228"/>
        <v>35546.49</v>
      </c>
      <c r="L257" s="187"/>
      <c r="M257" s="709">
        <f t="shared" si="229"/>
        <v>43923.6</v>
      </c>
      <c r="N257" s="187"/>
      <c r="O257" s="709">
        <f t="shared" si="230"/>
        <v>41904.99</v>
      </c>
      <c r="P257" s="187"/>
      <c r="Q257" s="711">
        <f t="shared" si="255"/>
        <v>0</v>
      </c>
      <c r="R257" s="709">
        <f t="shared" si="231"/>
        <v>41274.050000000003</v>
      </c>
      <c r="S257" s="187"/>
      <c r="T257" s="709">
        <f t="shared" si="232"/>
        <v>51108.05</v>
      </c>
      <c r="U257" s="187"/>
      <c r="V257" s="709">
        <f t="shared" si="233"/>
        <v>48738.38</v>
      </c>
      <c r="W257" s="187"/>
      <c r="X257" s="711">
        <f t="shared" si="256"/>
        <v>0</v>
      </c>
      <c r="Y257" s="709">
        <f t="shared" si="234"/>
        <v>45569.73</v>
      </c>
      <c r="Z257" s="187">
        <v>50</v>
      </c>
      <c r="AA257" s="709">
        <f t="shared" si="235"/>
        <v>56496.39</v>
      </c>
      <c r="AB257" s="187">
        <v>7</v>
      </c>
      <c r="AC257" s="711">
        <f t="shared" si="257"/>
        <v>2673961.23</v>
      </c>
      <c r="AD257" s="709">
        <f t="shared" si="236"/>
        <v>54161.08</v>
      </c>
      <c r="AE257" s="187">
        <v>1</v>
      </c>
      <c r="AF257" s="709">
        <f t="shared" si="237"/>
        <v>67273.070000000007</v>
      </c>
      <c r="AG257" s="187">
        <v>5</v>
      </c>
      <c r="AH257" s="709">
        <f t="shared" si="238"/>
        <v>64113.51</v>
      </c>
      <c r="AI257" s="187"/>
      <c r="AJ257" s="711">
        <f t="shared" si="258"/>
        <v>390526.43</v>
      </c>
      <c r="AK257" s="709">
        <f t="shared" si="239"/>
        <v>29360.82</v>
      </c>
      <c r="AL257" s="187"/>
      <c r="AM257" s="709">
        <f t="shared" si="240"/>
        <v>36645.26</v>
      </c>
      <c r="AN257" s="187"/>
      <c r="AO257" s="709">
        <f t="shared" si="241"/>
        <v>34889.949999999997</v>
      </c>
      <c r="AP257" s="187"/>
      <c r="AQ257" s="711">
        <f t="shared" si="259"/>
        <v>0</v>
      </c>
      <c r="AR257" s="709">
        <f t="shared" si="242"/>
        <v>35718.379999999997</v>
      </c>
      <c r="AS257" s="187"/>
      <c r="AT257" s="711">
        <f t="shared" si="260"/>
        <v>0</v>
      </c>
      <c r="AU257" s="712">
        <f t="shared" si="261"/>
        <v>18264296.120000001</v>
      </c>
      <c r="AV257" s="187"/>
      <c r="AW257" s="709">
        <f t="shared" si="243"/>
        <v>65258.22</v>
      </c>
      <c r="AX257" s="187"/>
      <c r="AY257" s="709">
        <f t="shared" si="244"/>
        <v>81192.94</v>
      </c>
      <c r="AZ257" s="187"/>
      <c r="BA257" s="709">
        <f t="shared" si="245"/>
        <v>77353.2</v>
      </c>
      <c r="BB257" s="187"/>
      <c r="BC257" s="711">
        <f t="shared" si="262"/>
        <v>0</v>
      </c>
      <c r="BD257" s="709">
        <f t="shared" si="246"/>
        <v>77787.27</v>
      </c>
      <c r="BE257" s="187"/>
      <c r="BF257" s="709">
        <f t="shared" si="247"/>
        <v>96908.93</v>
      </c>
      <c r="BG257" s="187"/>
      <c r="BH257" s="711">
        <f t="shared" si="263"/>
        <v>0</v>
      </c>
      <c r="BI257" s="713">
        <f t="shared" si="264"/>
        <v>0</v>
      </c>
      <c r="BJ257" s="709">
        <f t="shared" si="248"/>
        <v>25708.01</v>
      </c>
      <c r="BK257" s="187"/>
      <c r="BL257" s="709">
        <f t="shared" si="249"/>
        <v>27763.9</v>
      </c>
      <c r="BM257" s="187"/>
      <c r="BN257" s="709">
        <f t="shared" si="250"/>
        <v>23851.91</v>
      </c>
      <c r="BO257" s="187"/>
      <c r="BP257" s="711">
        <f t="shared" si="265"/>
        <v>0</v>
      </c>
      <c r="BQ257" s="709">
        <f t="shared" si="251"/>
        <v>42444.76</v>
      </c>
      <c r="BR257" s="187"/>
      <c r="BS257" s="709">
        <f t="shared" si="252"/>
        <v>46158.78</v>
      </c>
      <c r="BT257" s="187"/>
      <c r="BU257" s="709">
        <f t="shared" si="253"/>
        <v>39091.67</v>
      </c>
      <c r="BV257" s="187"/>
      <c r="BW257" s="1047">
        <f t="shared" si="266"/>
        <v>0</v>
      </c>
      <c r="BX257" s="187">
        <f t="shared" si="267"/>
        <v>493</v>
      </c>
      <c r="BY257" s="117">
        <f t="shared" si="268"/>
        <v>18264296.120000001</v>
      </c>
      <c r="BZ257" s="117"/>
    </row>
    <row r="258" spans="1:78" s="116" customFormat="1" ht="16.5">
      <c r="A258" s="376">
        <v>45</v>
      </c>
      <c r="B258" s="377" t="s">
        <v>599</v>
      </c>
      <c r="C258" s="378"/>
      <c r="D258" s="709">
        <f t="shared" si="225"/>
        <v>31250.82</v>
      </c>
      <c r="E258" s="187">
        <v>278</v>
      </c>
      <c r="F258" s="709">
        <f t="shared" si="226"/>
        <v>38535.26</v>
      </c>
      <c r="G258" s="187">
        <v>203</v>
      </c>
      <c r="H258" s="709">
        <f t="shared" si="227"/>
        <v>36779.949999999997</v>
      </c>
      <c r="I258" s="187">
        <v>15</v>
      </c>
      <c r="J258" s="711">
        <f t="shared" si="254"/>
        <v>17062084.989999998</v>
      </c>
      <c r="K258" s="709">
        <f t="shared" si="228"/>
        <v>35546.49</v>
      </c>
      <c r="L258" s="187">
        <v>123</v>
      </c>
      <c r="M258" s="709">
        <f t="shared" si="229"/>
        <v>43923.6</v>
      </c>
      <c r="N258" s="187">
        <v>237</v>
      </c>
      <c r="O258" s="709">
        <f t="shared" si="230"/>
        <v>41904.99</v>
      </c>
      <c r="P258" s="187">
        <v>83</v>
      </c>
      <c r="Q258" s="711">
        <f t="shared" si="255"/>
        <v>18260225.640000001</v>
      </c>
      <c r="R258" s="709">
        <f t="shared" si="231"/>
        <v>41274.050000000003</v>
      </c>
      <c r="S258" s="187"/>
      <c r="T258" s="709">
        <f t="shared" si="232"/>
        <v>51108.05</v>
      </c>
      <c r="U258" s="187"/>
      <c r="V258" s="709">
        <f t="shared" si="233"/>
        <v>48738.38</v>
      </c>
      <c r="W258" s="187"/>
      <c r="X258" s="711">
        <f t="shared" si="256"/>
        <v>0</v>
      </c>
      <c r="Y258" s="709">
        <f t="shared" si="234"/>
        <v>45569.73</v>
      </c>
      <c r="Z258" s="187"/>
      <c r="AA258" s="709">
        <f t="shared" si="235"/>
        <v>56496.39</v>
      </c>
      <c r="AB258" s="187"/>
      <c r="AC258" s="711">
        <f t="shared" si="257"/>
        <v>0</v>
      </c>
      <c r="AD258" s="709">
        <f t="shared" si="236"/>
        <v>54161.08</v>
      </c>
      <c r="AE258" s="187">
        <v>2</v>
      </c>
      <c r="AF258" s="709">
        <f t="shared" si="237"/>
        <v>67273.070000000007</v>
      </c>
      <c r="AG258" s="187">
        <v>4</v>
      </c>
      <c r="AH258" s="709">
        <f t="shared" si="238"/>
        <v>64113.51</v>
      </c>
      <c r="AI258" s="187">
        <v>1</v>
      </c>
      <c r="AJ258" s="711">
        <f t="shared" si="258"/>
        <v>441527.95</v>
      </c>
      <c r="AK258" s="709">
        <f t="shared" si="239"/>
        <v>29360.82</v>
      </c>
      <c r="AL258" s="187"/>
      <c r="AM258" s="709">
        <f t="shared" si="240"/>
        <v>36645.26</v>
      </c>
      <c r="AN258" s="187"/>
      <c r="AO258" s="709">
        <f t="shared" si="241"/>
        <v>34889.949999999997</v>
      </c>
      <c r="AP258" s="187"/>
      <c r="AQ258" s="711">
        <f t="shared" si="259"/>
        <v>0</v>
      </c>
      <c r="AR258" s="709">
        <f t="shared" si="242"/>
        <v>35718.379999999997</v>
      </c>
      <c r="AS258" s="187"/>
      <c r="AT258" s="711">
        <f t="shared" si="260"/>
        <v>0</v>
      </c>
      <c r="AU258" s="712">
        <f t="shared" si="261"/>
        <v>35763838.579999998</v>
      </c>
      <c r="AV258" s="187"/>
      <c r="AW258" s="709">
        <f t="shared" si="243"/>
        <v>65258.22</v>
      </c>
      <c r="AX258" s="187"/>
      <c r="AY258" s="709">
        <f t="shared" si="244"/>
        <v>81192.94</v>
      </c>
      <c r="AZ258" s="187"/>
      <c r="BA258" s="709">
        <f t="shared" si="245"/>
        <v>77353.2</v>
      </c>
      <c r="BB258" s="187"/>
      <c r="BC258" s="711">
        <f t="shared" si="262"/>
        <v>0</v>
      </c>
      <c r="BD258" s="709">
        <f t="shared" si="246"/>
        <v>77787.27</v>
      </c>
      <c r="BE258" s="187"/>
      <c r="BF258" s="709">
        <f t="shared" si="247"/>
        <v>96908.93</v>
      </c>
      <c r="BG258" s="187"/>
      <c r="BH258" s="711">
        <f t="shared" si="263"/>
        <v>0</v>
      </c>
      <c r="BI258" s="713">
        <f t="shared" si="264"/>
        <v>0</v>
      </c>
      <c r="BJ258" s="709">
        <f t="shared" si="248"/>
        <v>25708.01</v>
      </c>
      <c r="BK258" s="187"/>
      <c r="BL258" s="709">
        <f t="shared" si="249"/>
        <v>27763.9</v>
      </c>
      <c r="BM258" s="187"/>
      <c r="BN258" s="709">
        <f t="shared" si="250"/>
        <v>23851.91</v>
      </c>
      <c r="BO258" s="187"/>
      <c r="BP258" s="711">
        <f t="shared" si="265"/>
        <v>0</v>
      </c>
      <c r="BQ258" s="709">
        <f t="shared" si="251"/>
        <v>42444.76</v>
      </c>
      <c r="BR258" s="187"/>
      <c r="BS258" s="709">
        <f t="shared" si="252"/>
        <v>46158.78</v>
      </c>
      <c r="BT258" s="187"/>
      <c r="BU258" s="709">
        <f t="shared" si="253"/>
        <v>39091.67</v>
      </c>
      <c r="BV258" s="187"/>
      <c r="BW258" s="1047">
        <f t="shared" si="266"/>
        <v>0</v>
      </c>
      <c r="BX258" s="187">
        <f t="shared" si="267"/>
        <v>946</v>
      </c>
      <c r="BY258" s="117">
        <f t="shared" si="268"/>
        <v>35763838.579999998</v>
      </c>
      <c r="BZ258" s="117"/>
    </row>
    <row r="259" spans="1:78" s="116" customFormat="1" ht="16.5">
      <c r="A259" s="376">
        <v>46</v>
      </c>
      <c r="B259" s="377" t="s">
        <v>600</v>
      </c>
      <c r="C259" s="378"/>
      <c r="D259" s="709">
        <f t="shared" si="225"/>
        <v>31250.82</v>
      </c>
      <c r="E259" s="187">
        <v>136</v>
      </c>
      <c r="F259" s="709">
        <f t="shared" si="226"/>
        <v>38535.26</v>
      </c>
      <c r="G259" s="187">
        <v>132</v>
      </c>
      <c r="H259" s="709">
        <f t="shared" si="227"/>
        <v>36779.949999999997</v>
      </c>
      <c r="I259" s="187">
        <v>34</v>
      </c>
      <c r="J259" s="711">
        <f t="shared" si="254"/>
        <v>10587284.140000001</v>
      </c>
      <c r="K259" s="709">
        <f t="shared" si="228"/>
        <v>35546.49</v>
      </c>
      <c r="L259" s="187">
        <v>109</v>
      </c>
      <c r="M259" s="709">
        <f t="shared" si="229"/>
        <v>43923.6</v>
      </c>
      <c r="N259" s="187">
        <v>102</v>
      </c>
      <c r="O259" s="709">
        <f t="shared" si="230"/>
        <v>41904.99</v>
      </c>
      <c r="P259" s="187">
        <v>29</v>
      </c>
      <c r="Q259" s="711">
        <f t="shared" si="255"/>
        <v>9570019.3200000003</v>
      </c>
      <c r="R259" s="709">
        <f t="shared" si="231"/>
        <v>41274.050000000003</v>
      </c>
      <c r="S259" s="187"/>
      <c r="T259" s="709">
        <f t="shared" si="232"/>
        <v>51108.05</v>
      </c>
      <c r="U259" s="187"/>
      <c r="V259" s="709">
        <f t="shared" si="233"/>
        <v>48738.38</v>
      </c>
      <c r="W259" s="187"/>
      <c r="X259" s="711">
        <f t="shared" si="256"/>
        <v>0</v>
      </c>
      <c r="Y259" s="709">
        <f t="shared" si="234"/>
        <v>45569.73</v>
      </c>
      <c r="Z259" s="187"/>
      <c r="AA259" s="709">
        <f t="shared" si="235"/>
        <v>56496.39</v>
      </c>
      <c r="AB259" s="187"/>
      <c r="AC259" s="711">
        <f t="shared" si="257"/>
        <v>0</v>
      </c>
      <c r="AD259" s="709">
        <f t="shared" si="236"/>
        <v>54161.08</v>
      </c>
      <c r="AE259" s="187">
        <v>6</v>
      </c>
      <c r="AF259" s="709">
        <f t="shared" si="237"/>
        <v>67273.070000000007</v>
      </c>
      <c r="AG259" s="187">
        <v>10</v>
      </c>
      <c r="AH259" s="709">
        <f t="shared" si="238"/>
        <v>64113.51</v>
      </c>
      <c r="AI259" s="187">
        <v>2</v>
      </c>
      <c r="AJ259" s="711">
        <f t="shared" si="258"/>
        <v>1125924.2</v>
      </c>
      <c r="AK259" s="709">
        <f t="shared" si="239"/>
        <v>29360.82</v>
      </c>
      <c r="AL259" s="187">
        <v>37</v>
      </c>
      <c r="AM259" s="709">
        <f t="shared" si="240"/>
        <v>36645.26</v>
      </c>
      <c r="AN259" s="187">
        <v>50</v>
      </c>
      <c r="AO259" s="709">
        <f t="shared" si="241"/>
        <v>34889.949999999997</v>
      </c>
      <c r="AP259" s="187">
        <v>21</v>
      </c>
      <c r="AQ259" s="711">
        <f t="shared" si="259"/>
        <v>3651302.29</v>
      </c>
      <c r="AR259" s="709">
        <f t="shared" si="242"/>
        <v>35718.379999999997</v>
      </c>
      <c r="AS259" s="187"/>
      <c r="AT259" s="711">
        <f t="shared" si="260"/>
        <v>0</v>
      </c>
      <c r="AU259" s="712">
        <f t="shared" si="261"/>
        <v>24934529.950000003</v>
      </c>
      <c r="AV259" s="187"/>
      <c r="AW259" s="709">
        <f t="shared" si="243"/>
        <v>65258.22</v>
      </c>
      <c r="AX259" s="187"/>
      <c r="AY259" s="709">
        <f t="shared" si="244"/>
        <v>81192.94</v>
      </c>
      <c r="AZ259" s="187"/>
      <c r="BA259" s="709">
        <f t="shared" si="245"/>
        <v>77353.2</v>
      </c>
      <c r="BB259" s="187"/>
      <c r="BC259" s="711">
        <f t="shared" si="262"/>
        <v>0</v>
      </c>
      <c r="BD259" s="709">
        <f t="shared" si="246"/>
        <v>77787.27</v>
      </c>
      <c r="BE259" s="187"/>
      <c r="BF259" s="709">
        <f t="shared" si="247"/>
        <v>96908.93</v>
      </c>
      <c r="BG259" s="187"/>
      <c r="BH259" s="711">
        <f t="shared" si="263"/>
        <v>0</v>
      </c>
      <c r="BI259" s="713">
        <f t="shared" si="264"/>
        <v>0</v>
      </c>
      <c r="BJ259" s="709">
        <f t="shared" si="248"/>
        <v>25708.01</v>
      </c>
      <c r="BK259" s="187"/>
      <c r="BL259" s="709">
        <f t="shared" si="249"/>
        <v>27763.9</v>
      </c>
      <c r="BM259" s="187"/>
      <c r="BN259" s="709">
        <f t="shared" si="250"/>
        <v>23851.91</v>
      </c>
      <c r="BO259" s="187"/>
      <c r="BP259" s="711">
        <f t="shared" si="265"/>
        <v>0</v>
      </c>
      <c r="BQ259" s="709">
        <f t="shared" si="251"/>
        <v>42444.76</v>
      </c>
      <c r="BR259" s="187"/>
      <c r="BS259" s="709">
        <f t="shared" si="252"/>
        <v>46158.78</v>
      </c>
      <c r="BT259" s="187"/>
      <c r="BU259" s="709">
        <f t="shared" si="253"/>
        <v>39091.67</v>
      </c>
      <c r="BV259" s="187"/>
      <c r="BW259" s="1047">
        <f t="shared" si="266"/>
        <v>0</v>
      </c>
      <c r="BX259" s="187">
        <f t="shared" si="267"/>
        <v>668</v>
      </c>
      <c r="BY259" s="117">
        <f t="shared" si="268"/>
        <v>24934529.950000003</v>
      </c>
      <c r="BZ259" s="117"/>
    </row>
    <row r="260" spans="1:78" s="116" customFormat="1" ht="16.5">
      <c r="A260" s="376">
        <v>47</v>
      </c>
      <c r="B260" s="377" t="s">
        <v>601</v>
      </c>
      <c r="C260" s="378"/>
      <c r="D260" s="709">
        <f t="shared" si="225"/>
        <v>31250.82</v>
      </c>
      <c r="E260" s="187">
        <v>268</v>
      </c>
      <c r="F260" s="709">
        <f t="shared" si="226"/>
        <v>38535.26</v>
      </c>
      <c r="G260" s="187">
        <v>285</v>
      </c>
      <c r="H260" s="709">
        <f t="shared" si="227"/>
        <v>36779.949999999997</v>
      </c>
      <c r="I260" s="187">
        <v>31</v>
      </c>
      <c r="J260" s="711">
        <f t="shared" si="254"/>
        <v>20497947.309999999</v>
      </c>
      <c r="K260" s="709">
        <f t="shared" si="228"/>
        <v>35546.49</v>
      </c>
      <c r="L260" s="187">
        <v>96</v>
      </c>
      <c r="M260" s="709">
        <f t="shared" si="229"/>
        <v>43923.6</v>
      </c>
      <c r="N260" s="187">
        <v>118</v>
      </c>
      <c r="O260" s="709">
        <f t="shared" si="230"/>
        <v>41904.99</v>
      </c>
      <c r="P260" s="187">
        <v>31</v>
      </c>
      <c r="Q260" s="711">
        <f t="shared" si="255"/>
        <v>9894502.5299999993</v>
      </c>
      <c r="R260" s="709">
        <f t="shared" si="231"/>
        <v>41274.050000000003</v>
      </c>
      <c r="S260" s="187"/>
      <c r="T260" s="709">
        <f t="shared" si="232"/>
        <v>51108.05</v>
      </c>
      <c r="U260" s="187"/>
      <c r="V260" s="709">
        <f t="shared" si="233"/>
        <v>48738.38</v>
      </c>
      <c r="W260" s="187"/>
      <c r="X260" s="711">
        <f t="shared" si="256"/>
        <v>0</v>
      </c>
      <c r="Y260" s="709">
        <f t="shared" si="234"/>
        <v>45569.73</v>
      </c>
      <c r="Z260" s="187"/>
      <c r="AA260" s="709">
        <f t="shared" si="235"/>
        <v>56496.39</v>
      </c>
      <c r="AB260" s="187"/>
      <c r="AC260" s="711">
        <f t="shared" si="257"/>
        <v>0</v>
      </c>
      <c r="AD260" s="709">
        <f t="shared" si="236"/>
        <v>54161.08</v>
      </c>
      <c r="AE260" s="187">
        <v>2</v>
      </c>
      <c r="AF260" s="709">
        <f t="shared" si="237"/>
        <v>67273.070000000007</v>
      </c>
      <c r="AG260" s="187">
        <v>13</v>
      </c>
      <c r="AH260" s="709">
        <f t="shared" si="238"/>
        <v>64113.51</v>
      </c>
      <c r="AI260" s="187">
        <v>1</v>
      </c>
      <c r="AJ260" s="711">
        <f t="shared" si="258"/>
        <v>1046985.58</v>
      </c>
      <c r="AK260" s="709">
        <f t="shared" si="239"/>
        <v>29360.82</v>
      </c>
      <c r="AL260" s="187"/>
      <c r="AM260" s="709">
        <f t="shared" si="240"/>
        <v>36645.26</v>
      </c>
      <c r="AN260" s="187"/>
      <c r="AO260" s="709">
        <f t="shared" si="241"/>
        <v>34889.949999999997</v>
      </c>
      <c r="AP260" s="187"/>
      <c r="AQ260" s="711">
        <f t="shared" si="259"/>
        <v>0</v>
      </c>
      <c r="AR260" s="709">
        <f t="shared" si="242"/>
        <v>35718.379999999997</v>
      </c>
      <c r="AS260" s="187"/>
      <c r="AT260" s="711">
        <f t="shared" si="260"/>
        <v>0</v>
      </c>
      <c r="AU260" s="712">
        <f t="shared" si="261"/>
        <v>31439435.419999998</v>
      </c>
      <c r="AV260" s="187"/>
      <c r="AW260" s="709">
        <f t="shared" si="243"/>
        <v>65258.22</v>
      </c>
      <c r="AX260" s="187"/>
      <c r="AY260" s="709">
        <f t="shared" si="244"/>
        <v>81192.94</v>
      </c>
      <c r="AZ260" s="187"/>
      <c r="BA260" s="709">
        <f t="shared" si="245"/>
        <v>77353.2</v>
      </c>
      <c r="BB260" s="187"/>
      <c r="BC260" s="711">
        <f t="shared" si="262"/>
        <v>0</v>
      </c>
      <c r="BD260" s="709">
        <f t="shared" si="246"/>
        <v>77787.27</v>
      </c>
      <c r="BE260" s="187"/>
      <c r="BF260" s="709">
        <f t="shared" si="247"/>
        <v>96908.93</v>
      </c>
      <c r="BG260" s="187"/>
      <c r="BH260" s="711">
        <f t="shared" si="263"/>
        <v>0</v>
      </c>
      <c r="BI260" s="713">
        <f t="shared" si="264"/>
        <v>0</v>
      </c>
      <c r="BJ260" s="709">
        <f t="shared" si="248"/>
        <v>25708.01</v>
      </c>
      <c r="BK260" s="187"/>
      <c r="BL260" s="709">
        <f t="shared" si="249"/>
        <v>27763.9</v>
      </c>
      <c r="BM260" s="187"/>
      <c r="BN260" s="709">
        <f t="shared" si="250"/>
        <v>23851.91</v>
      </c>
      <c r="BO260" s="187"/>
      <c r="BP260" s="711">
        <f t="shared" si="265"/>
        <v>0</v>
      </c>
      <c r="BQ260" s="709">
        <f t="shared" si="251"/>
        <v>42444.76</v>
      </c>
      <c r="BR260" s="187"/>
      <c r="BS260" s="709">
        <f t="shared" si="252"/>
        <v>46158.78</v>
      </c>
      <c r="BT260" s="187"/>
      <c r="BU260" s="709">
        <f t="shared" si="253"/>
        <v>39091.67</v>
      </c>
      <c r="BV260" s="187"/>
      <c r="BW260" s="1047">
        <f t="shared" si="266"/>
        <v>0</v>
      </c>
      <c r="BX260" s="187">
        <f t="shared" si="267"/>
        <v>845</v>
      </c>
      <c r="BY260" s="117">
        <f t="shared" si="268"/>
        <v>31439435.419999998</v>
      </c>
      <c r="BZ260" s="117"/>
    </row>
    <row r="261" spans="1:78" s="116" customFormat="1" ht="16.5">
      <c r="A261" s="376">
        <v>48</v>
      </c>
      <c r="B261" s="377" t="s">
        <v>602</v>
      </c>
      <c r="C261" s="378"/>
      <c r="D261" s="709">
        <f t="shared" si="225"/>
        <v>31250.82</v>
      </c>
      <c r="E261" s="187">
        <v>390</v>
      </c>
      <c r="F261" s="709">
        <f t="shared" si="226"/>
        <v>38535.26</v>
      </c>
      <c r="G261" s="187">
        <v>399</v>
      </c>
      <c r="H261" s="709">
        <f t="shared" si="227"/>
        <v>36779.949999999997</v>
      </c>
      <c r="I261" s="187">
        <v>97</v>
      </c>
      <c r="J261" s="711">
        <f t="shared" si="254"/>
        <v>31131043.690000001</v>
      </c>
      <c r="K261" s="709">
        <f t="shared" si="228"/>
        <v>35546.49</v>
      </c>
      <c r="L261" s="187">
        <v>111</v>
      </c>
      <c r="M261" s="709">
        <f t="shared" si="229"/>
        <v>43923.6</v>
      </c>
      <c r="N261" s="187">
        <v>116</v>
      </c>
      <c r="O261" s="709">
        <f t="shared" si="230"/>
        <v>41904.99</v>
      </c>
      <c r="P261" s="187"/>
      <c r="Q261" s="711">
        <f t="shared" si="255"/>
        <v>9040797.9900000002</v>
      </c>
      <c r="R261" s="709">
        <f t="shared" si="231"/>
        <v>41274.050000000003</v>
      </c>
      <c r="S261" s="187"/>
      <c r="T261" s="709">
        <f t="shared" si="232"/>
        <v>51108.05</v>
      </c>
      <c r="U261" s="187"/>
      <c r="V261" s="709">
        <f t="shared" si="233"/>
        <v>48738.38</v>
      </c>
      <c r="W261" s="187"/>
      <c r="X261" s="711">
        <f t="shared" si="256"/>
        <v>0</v>
      </c>
      <c r="Y261" s="709">
        <f t="shared" si="234"/>
        <v>45569.73</v>
      </c>
      <c r="Z261" s="187"/>
      <c r="AA261" s="709">
        <f t="shared" si="235"/>
        <v>56496.39</v>
      </c>
      <c r="AB261" s="187"/>
      <c r="AC261" s="711">
        <f t="shared" si="257"/>
        <v>0</v>
      </c>
      <c r="AD261" s="709">
        <f t="shared" si="236"/>
        <v>54161.08</v>
      </c>
      <c r="AE261" s="187">
        <v>9</v>
      </c>
      <c r="AF261" s="709">
        <f t="shared" si="237"/>
        <v>67273.070000000007</v>
      </c>
      <c r="AG261" s="187">
        <v>21</v>
      </c>
      <c r="AH261" s="709">
        <f t="shared" si="238"/>
        <v>64113.51</v>
      </c>
      <c r="AI261" s="187">
        <v>3</v>
      </c>
      <c r="AJ261" s="711">
        <f t="shared" si="258"/>
        <v>2092524.72</v>
      </c>
      <c r="AK261" s="709">
        <f t="shared" si="239"/>
        <v>29360.82</v>
      </c>
      <c r="AL261" s="187"/>
      <c r="AM261" s="709">
        <f t="shared" si="240"/>
        <v>36645.26</v>
      </c>
      <c r="AN261" s="187"/>
      <c r="AO261" s="709">
        <f t="shared" si="241"/>
        <v>34889.949999999997</v>
      </c>
      <c r="AP261" s="187"/>
      <c r="AQ261" s="711">
        <f t="shared" si="259"/>
        <v>0</v>
      </c>
      <c r="AR261" s="709">
        <f t="shared" si="242"/>
        <v>35718.379999999997</v>
      </c>
      <c r="AS261" s="187"/>
      <c r="AT261" s="711">
        <f t="shared" si="260"/>
        <v>0</v>
      </c>
      <c r="AU261" s="712">
        <f t="shared" si="261"/>
        <v>42264366.400000006</v>
      </c>
      <c r="AV261" s="187"/>
      <c r="AW261" s="709">
        <f t="shared" si="243"/>
        <v>65258.22</v>
      </c>
      <c r="AX261" s="187"/>
      <c r="AY261" s="709">
        <f t="shared" si="244"/>
        <v>81192.94</v>
      </c>
      <c r="AZ261" s="187"/>
      <c r="BA261" s="709">
        <f t="shared" si="245"/>
        <v>77353.2</v>
      </c>
      <c r="BB261" s="187"/>
      <c r="BC261" s="711">
        <f t="shared" si="262"/>
        <v>0</v>
      </c>
      <c r="BD261" s="709">
        <f t="shared" si="246"/>
        <v>77787.27</v>
      </c>
      <c r="BE261" s="187"/>
      <c r="BF261" s="709">
        <f t="shared" si="247"/>
        <v>96908.93</v>
      </c>
      <c r="BG261" s="187"/>
      <c r="BH261" s="711">
        <f t="shared" si="263"/>
        <v>0</v>
      </c>
      <c r="BI261" s="713">
        <f t="shared" si="264"/>
        <v>0</v>
      </c>
      <c r="BJ261" s="709">
        <f t="shared" si="248"/>
        <v>25708.01</v>
      </c>
      <c r="BK261" s="187"/>
      <c r="BL261" s="709">
        <f t="shared" si="249"/>
        <v>27763.9</v>
      </c>
      <c r="BM261" s="187"/>
      <c r="BN261" s="709">
        <f t="shared" si="250"/>
        <v>23851.91</v>
      </c>
      <c r="BO261" s="187"/>
      <c r="BP261" s="711">
        <f t="shared" si="265"/>
        <v>0</v>
      </c>
      <c r="BQ261" s="709">
        <f t="shared" si="251"/>
        <v>42444.76</v>
      </c>
      <c r="BR261" s="187"/>
      <c r="BS261" s="709">
        <f t="shared" si="252"/>
        <v>46158.78</v>
      </c>
      <c r="BT261" s="187"/>
      <c r="BU261" s="709">
        <f t="shared" si="253"/>
        <v>39091.67</v>
      </c>
      <c r="BV261" s="187"/>
      <c r="BW261" s="1047">
        <f t="shared" si="266"/>
        <v>0</v>
      </c>
      <c r="BX261" s="187">
        <f t="shared" si="267"/>
        <v>1146</v>
      </c>
      <c r="BY261" s="117">
        <f t="shared" si="268"/>
        <v>42264366.400000006</v>
      </c>
      <c r="BZ261" s="117"/>
    </row>
    <row r="262" spans="1:78" s="116" customFormat="1" ht="16.5">
      <c r="A262" s="376">
        <v>49</v>
      </c>
      <c r="B262" s="377" t="s">
        <v>603</v>
      </c>
      <c r="C262" s="378"/>
      <c r="D262" s="709">
        <f t="shared" si="225"/>
        <v>31250.82</v>
      </c>
      <c r="E262" s="187">
        <v>377</v>
      </c>
      <c r="F262" s="709">
        <f t="shared" si="226"/>
        <v>38535.26</v>
      </c>
      <c r="G262" s="187">
        <v>309</v>
      </c>
      <c r="H262" s="709">
        <f t="shared" si="227"/>
        <v>36779.949999999997</v>
      </c>
      <c r="I262" s="187">
        <v>46</v>
      </c>
      <c r="J262" s="711">
        <f t="shared" si="254"/>
        <v>25380832.18</v>
      </c>
      <c r="K262" s="709">
        <f t="shared" si="228"/>
        <v>35546.49</v>
      </c>
      <c r="L262" s="187"/>
      <c r="M262" s="709">
        <f t="shared" si="229"/>
        <v>43923.6</v>
      </c>
      <c r="N262" s="187"/>
      <c r="O262" s="709">
        <f t="shared" si="230"/>
        <v>41904.99</v>
      </c>
      <c r="P262" s="187"/>
      <c r="Q262" s="711">
        <f t="shared" si="255"/>
        <v>0</v>
      </c>
      <c r="R262" s="709">
        <f t="shared" si="231"/>
        <v>41274.050000000003</v>
      </c>
      <c r="S262" s="187"/>
      <c r="T262" s="709">
        <f t="shared" si="232"/>
        <v>51108.05</v>
      </c>
      <c r="U262" s="187"/>
      <c r="V262" s="709">
        <f t="shared" si="233"/>
        <v>48738.38</v>
      </c>
      <c r="W262" s="187"/>
      <c r="X262" s="711">
        <f t="shared" si="256"/>
        <v>0</v>
      </c>
      <c r="Y262" s="709">
        <f t="shared" si="234"/>
        <v>45569.73</v>
      </c>
      <c r="Z262" s="187"/>
      <c r="AA262" s="709">
        <f t="shared" si="235"/>
        <v>56496.39</v>
      </c>
      <c r="AB262" s="187"/>
      <c r="AC262" s="711">
        <f t="shared" si="257"/>
        <v>0</v>
      </c>
      <c r="AD262" s="709">
        <f t="shared" si="236"/>
        <v>54161.08</v>
      </c>
      <c r="AE262" s="187">
        <v>5</v>
      </c>
      <c r="AF262" s="709">
        <f t="shared" si="237"/>
        <v>67273.070000000007</v>
      </c>
      <c r="AG262" s="187">
        <v>17</v>
      </c>
      <c r="AH262" s="709">
        <f t="shared" si="238"/>
        <v>64113.51</v>
      </c>
      <c r="AI262" s="187"/>
      <c r="AJ262" s="711">
        <f t="shared" si="258"/>
        <v>1414447.59</v>
      </c>
      <c r="AK262" s="709">
        <f t="shared" si="239"/>
        <v>29360.82</v>
      </c>
      <c r="AL262" s="187"/>
      <c r="AM262" s="709">
        <f t="shared" si="240"/>
        <v>36645.26</v>
      </c>
      <c r="AN262" s="187"/>
      <c r="AO262" s="709">
        <f t="shared" si="241"/>
        <v>34889.949999999997</v>
      </c>
      <c r="AP262" s="187"/>
      <c r="AQ262" s="711">
        <f t="shared" si="259"/>
        <v>0</v>
      </c>
      <c r="AR262" s="709">
        <f t="shared" si="242"/>
        <v>35718.379999999997</v>
      </c>
      <c r="AS262" s="187"/>
      <c r="AT262" s="711">
        <f t="shared" si="260"/>
        <v>0</v>
      </c>
      <c r="AU262" s="712">
        <f t="shared" si="261"/>
        <v>26795279.77</v>
      </c>
      <c r="AV262" s="187"/>
      <c r="AW262" s="709">
        <f t="shared" si="243"/>
        <v>65258.22</v>
      </c>
      <c r="AX262" s="187"/>
      <c r="AY262" s="709">
        <f t="shared" si="244"/>
        <v>81192.94</v>
      </c>
      <c r="AZ262" s="187"/>
      <c r="BA262" s="709">
        <f t="shared" si="245"/>
        <v>77353.2</v>
      </c>
      <c r="BB262" s="187"/>
      <c r="BC262" s="711">
        <f t="shared" si="262"/>
        <v>0</v>
      </c>
      <c r="BD262" s="709">
        <f t="shared" si="246"/>
        <v>77787.27</v>
      </c>
      <c r="BE262" s="187"/>
      <c r="BF262" s="709">
        <f t="shared" si="247"/>
        <v>96908.93</v>
      </c>
      <c r="BG262" s="187"/>
      <c r="BH262" s="711">
        <f t="shared" si="263"/>
        <v>0</v>
      </c>
      <c r="BI262" s="713">
        <f t="shared" si="264"/>
        <v>0</v>
      </c>
      <c r="BJ262" s="709">
        <f t="shared" si="248"/>
        <v>25708.01</v>
      </c>
      <c r="BK262" s="187"/>
      <c r="BL262" s="709">
        <f t="shared" si="249"/>
        <v>27763.9</v>
      </c>
      <c r="BM262" s="187"/>
      <c r="BN262" s="709">
        <f t="shared" si="250"/>
        <v>23851.91</v>
      </c>
      <c r="BO262" s="187"/>
      <c r="BP262" s="711">
        <f t="shared" si="265"/>
        <v>0</v>
      </c>
      <c r="BQ262" s="709">
        <f t="shared" si="251"/>
        <v>42444.76</v>
      </c>
      <c r="BR262" s="187"/>
      <c r="BS262" s="709">
        <f t="shared" si="252"/>
        <v>46158.78</v>
      </c>
      <c r="BT262" s="187"/>
      <c r="BU262" s="709">
        <f t="shared" si="253"/>
        <v>39091.67</v>
      </c>
      <c r="BV262" s="187"/>
      <c r="BW262" s="1047">
        <f t="shared" si="266"/>
        <v>0</v>
      </c>
      <c r="BX262" s="187">
        <f t="shared" si="267"/>
        <v>754</v>
      </c>
      <c r="BY262" s="117">
        <f t="shared" si="268"/>
        <v>26795279.77</v>
      </c>
      <c r="BZ262" s="117"/>
    </row>
    <row r="263" spans="1:78" s="116" customFormat="1" ht="16.5">
      <c r="A263" s="376">
        <v>50</v>
      </c>
      <c r="B263" s="377" t="s">
        <v>604</v>
      </c>
      <c r="C263" s="378"/>
      <c r="D263" s="709">
        <f t="shared" si="225"/>
        <v>31250.82</v>
      </c>
      <c r="E263" s="187">
        <v>203</v>
      </c>
      <c r="F263" s="709">
        <f t="shared" si="226"/>
        <v>38535.26</v>
      </c>
      <c r="G263" s="187">
        <v>191</v>
      </c>
      <c r="H263" s="709">
        <f t="shared" si="227"/>
        <v>36779.949999999997</v>
      </c>
      <c r="I263" s="187">
        <v>56</v>
      </c>
      <c r="J263" s="711">
        <f t="shared" si="254"/>
        <v>15763828.32</v>
      </c>
      <c r="K263" s="709">
        <f t="shared" si="228"/>
        <v>35546.49</v>
      </c>
      <c r="L263" s="187">
        <v>17</v>
      </c>
      <c r="M263" s="709">
        <f t="shared" si="229"/>
        <v>43923.6</v>
      </c>
      <c r="N263" s="187">
        <v>86</v>
      </c>
      <c r="O263" s="709">
        <f t="shared" si="230"/>
        <v>41904.99</v>
      </c>
      <c r="P263" s="187"/>
      <c r="Q263" s="711">
        <f t="shared" si="255"/>
        <v>4381719.93</v>
      </c>
      <c r="R263" s="709">
        <f t="shared" si="231"/>
        <v>41274.050000000003</v>
      </c>
      <c r="S263" s="187"/>
      <c r="T263" s="709">
        <f t="shared" si="232"/>
        <v>51108.05</v>
      </c>
      <c r="U263" s="187"/>
      <c r="V263" s="709">
        <f t="shared" si="233"/>
        <v>48738.38</v>
      </c>
      <c r="W263" s="187"/>
      <c r="X263" s="711">
        <f t="shared" si="256"/>
        <v>0</v>
      </c>
      <c r="Y263" s="709">
        <f t="shared" si="234"/>
        <v>45569.73</v>
      </c>
      <c r="Z263" s="187">
        <v>22</v>
      </c>
      <c r="AA263" s="709">
        <f t="shared" si="235"/>
        <v>56496.39</v>
      </c>
      <c r="AB263" s="187">
        <v>9</v>
      </c>
      <c r="AC263" s="711">
        <f t="shared" si="257"/>
        <v>1511001.57</v>
      </c>
      <c r="AD263" s="709">
        <f t="shared" si="236"/>
        <v>54161.08</v>
      </c>
      <c r="AE263" s="187">
        <v>6</v>
      </c>
      <c r="AF263" s="709">
        <f t="shared" si="237"/>
        <v>67273.070000000007</v>
      </c>
      <c r="AG263" s="187">
        <v>9</v>
      </c>
      <c r="AH263" s="709">
        <f t="shared" si="238"/>
        <v>64113.51</v>
      </c>
      <c r="AI263" s="187"/>
      <c r="AJ263" s="711">
        <f t="shared" si="258"/>
        <v>930424.11</v>
      </c>
      <c r="AK263" s="709">
        <f t="shared" si="239"/>
        <v>29360.82</v>
      </c>
      <c r="AL263" s="187"/>
      <c r="AM263" s="709">
        <f t="shared" si="240"/>
        <v>36645.26</v>
      </c>
      <c r="AN263" s="187"/>
      <c r="AO263" s="709">
        <f t="shared" si="241"/>
        <v>34889.949999999997</v>
      </c>
      <c r="AP263" s="187"/>
      <c r="AQ263" s="711">
        <f t="shared" si="259"/>
        <v>0</v>
      </c>
      <c r="AR263" s="709">
        <f t="shared" si="242"/>
        <v>35718.379999999997</v>
      </c>
      <c r="AS263" s="187"/>
      <c r="AT263" s="711">
        <f t="shared" si="260"/>
        <v>0</v>
      </c>
      <c r="AU263" s="712">
        <f t="shared" si="261"/>
        <v>22586973.93</v>
      </c>
      <c r="AV263" s="187"/>
      <c r="AW263" s="709">
        <f t="shared" si="243"/>
        <v>65258.22</v>
      </c>
      <c r="AX263" s="187"/>
      <c r="AY263" s="709">
        <f t="shared" si="244"/>
        <v>81192.94</v>
      </c>
      <c r="AZ263" s="187"/>
      <c r="BA263" s="709">
        <f t="shared" si="245"/>
        <v>77353.2</v>
      </c>
      <c r="BB263" s="187"/>
      <c r="BC263" s="711">
        <f t="shared" si="262"/>
        <v>0</v>
      </c>
      <c r="BD263" s="709">
        <f t="shared" si="246"/>
        <v>77787.27</v>
      </c>
      <c r="BE263" s="187"/>
      <c r="BF263" s="709">
        <f t="shared" si="247"/>
        <v>96908.93</v>
      </c>
      <c r="BG263" s="187"/>
      <c r="BH263" s="711">
        <f t="shared" si="263"/>
        <v>0</v>
      </c>
      <c r="BI263" s="713">
        <f t="shared" si="264"/>
        <v>0</v>
      </c>
      <c r="BJ263" s="709">
        <f t="shared" si="248"/>
        <v>25708.01</v>
      </c>
      <c r="BK263" s="187"/>
      <c r="BL263" s="709">
        <f t="shared" si="249"/>
        <v>27763.9</v>
      </c>
      <c r="BM263" s="187"/>
      <c r="BN263" s="709">
        <f t="shared" si="250"/>
        <v>23851.91</v>
      </c>
      <c r="BO263" s="187"/>
      <c r="BP263" s="711">
        <f t="shared" si="265"/>
        <v>0</v>
      </c>
      <c r="BQ263" s="709">
        <f t="shared" si="251"/>
        <v>42444.76</v>
      </c>
      <c r="BR263" s="187"/>
      <c r="BS263" s="709">
        <f t="shared" si="252"/>
        <v>46158.78</v>
      </c>
      <c r="BT263" s="187"/>
      <c r="BU263" s="709">
        <f t="shared" si="253"/>
        <v>39091.67</v>
      </c>
      <c r="BV263" s="187"/>
      <c r="BW263" s="1047">
        <f t="shared" si="266"/>
        <v>0</v>
      </c>
      <c r="BX263" s="187">
        <f t="shared" si="267"/>
        <v>599</v>
      </c>
      <c r="BY263" s="117">
        <f t="shared" si="268"/>
        <v>22586973.93</v>
      </c>
      <c r="BZ263" s="117"/>
    </row>
    <row r="264" spans="1:78" s="116" customFormat="1" ht="16.5">
      <c r="A264" s="376">
        <v>51</v>
      </c>
      <c r="B264" s="377" t="s">
        <v>605</v>
      </c>
      <c r="C264" s="378"/>
      <c r="D264" s="709">
        <f t="shared" si="225"/>
        <v>31250.82</v>
      </c>
      <c r="E264" s="187">
        <v>259</v>
      </c>
      <c r="F264" s="709">
        <f t="shared" si="226"/>
        <v>38535.26</v>
      </c>
      <c r="G264" s="187">
        <v>306</v>
      </c>
      <c r="H264" s="709">
        <f t="shared" si="227"/>
        <v>36779.949999999997</v>
      </c>
      <c r="I264" s="187">
        <v>48</v>
      </c>
      <c r="J264" s="711">
        <f t="shared" si="254"/>
        <v>21651189.539999999</v>
      </c>
      <c r="K264" s="709">
        <f t="shared" si="228"/>
        <v>35546.49</v>
      </c>
      <c r="L264" s="187"/>
      <c r="M264" s="709">
        <f t="shared" si="229"/>
        <v>43923.6</v>
      </c>
      <c r="N264" s="187"/>
      <c r="O264" s="709">
        <f t="shared" si="230"/>
        <v>41904.99</v>
      </c>
      <c r="P264" s="187"/>
      <c r="Q264" s="711">
        <f t="shared" si="255"/>
        <v>0</v>
      </c>
      <c r="R264" s="709">
        <f t="shared" si="231"/>
        <v>41274.050000000003</v>
      </c>
      <c r="S264" s="187"/>
      <c r="T264" s="709">
        <f t="shared" si="232"/>
        <v>51108.05</v>
      </c>
      <c r="U264" s="187"/>
      <c r="V264" s="709">
        <f t="shared" si="233"/>
        <v>48738.38</v>
      </c>
      <c r="W264" s="187"/>
      <c r="X264" s="711">
        <f t="shared" si="256"/>
        <v>0</v>
      </c>
      <c r="Y264" s="709">
        <f t="shared" si="234"/>
        <v>45569.73</v>
      </c>
      <c r="Z264" s="187"/>
      <c r="AA264" s="709">
        <f t="shared" si="235"/>
        <v>56496.39</v>
      </c>
      <c r="AB264" s="187"/>
      <c r="AC264" s="711">
        <f t="shared" si="257"/>
        <v>0</v>
      </c>
      <c r="AD264" s="709">
        <f t="shared" si="236"/>
        <v>54161.08</v>
      </c>
      <c r="AE264" s="187">
        <v>4</v>
      </c>
      <c r="AF264" s="709">
        <f t="shared" si="237"/>
        <v>67273.070000000007</v>
      </c>
      <c r="AG264" s="187">
        <v>10</v>
      </c>
      <c r="AH264" s="709">
        <f t="shared" si="238"/>
        <v>64113.51</v>
      </c>
      <c r="AI264" s="187">
        <v>3</v>
      </c>
      <c r="AJ264" s="711">
        <f t="shared" si="258"/>
        <v>1081715.55</v>
      </c>
      <c r="AK264" s="709">
        <f t="shared" si="239"/>
        <v>29360.82</v>
      </c>
      <c r="AL264" s="187"/>
      <c r="AM264" s="709">
        <f t="shared" si="240"/>
        <v>36645.26</v>
      </c>
      <c r="AN264" s="187"/>
      <c r="AO264" s="709">
        <f t="shared" si="241"/>
        <v>34889.949999999997</v>
      </c>
      <c r="AP264" s="187"/>
      <c r="AQ264" s="711">
        <f t="shared" si="259"/>
        <v>0</v>
      </c>
      <c r="AR264" s="709">
        <f t="shared" si="242"/>
        <v>35718.379999999997</v>
      </c>
      <c r="AS264" s="187"/>
      <c r="AT264" s="711">
        <f t="shared" si="260"/>
        <v>0</v>
      </c>
      <c r="AU264" s="712">
        <f t="shared" si="261"/>
        <v>22732905.09</v>
      </c>
      <c r="AV264" s="187"/>
      <c r="AW264" s="709">
        <f t="shared" si="243"/>
        <v>65258.22</v>
      </c>
      <c r="AX264" s="187"/>
      <c r="AY264" s="709">
        <f t="shared" si="244"/>
        <v>81192.94</v>
      </c>
      <c r="AZ264" s="187"/>
      <c r="BA264" s="709">
        <f t="shared" si="245"/>
        <v>77353.2</v>
      </c>
      <c r="BB264" s="187"/>
      <c r="BC264" s="711">
        <f t="shared" si="262"/>
        <v>0</v>
      </c>
      <c r="BD264" s="709">
        <f t="shared" si="246"/>
        <v>77787.27</v>
      </c>
      <c r="BE264" s="187"/>
      <c r="BF264" s="709">
        <f t="shared" si="247"/>
        <v>96908.93</v>
      </c>
      <c r="BG264" s="187"/>
      <c r="BH264" s="711">
        <f t="shared" si="263"/>
        <v>0</v>
      </c>
      <c r="BI264" s="713">
        <f t="shared" si="264"/>
        <v>0</v>
      </c>
      <c r="BJ264" s="709">
        <f t="shared" si="248"/>
        <v>25708.01</v>
      </c>
      <c r="BK264" s="187"/>
      <c r="BL264" s="709">
        <f t="shared" si="249"/>
        <v>27763.9</v>
      </c>
      <c r="BM264" s="187"/>
      <c r="BN264" s="709">
        <f t="shared" si="250"/>
        <v>23851.91</v>
      </c>
      <c r="BO264" s="187"/>
      <c r="BP264" s="711">
        <f t="shared" si="265"/>
        <v>0</v>
      </c>
      <c r="BQ264" s="709">
        <f t="shared" si="251"/>
        <v>42444.76</v>
      </c>
      <c r="BR264" s="187"/>
      <c r="BS264" s="709">
        <f t="shared" si="252"/>
        <v>46158.78</v>
      </c>
      <c r="BT264" s="187"/>
      <c r="BU264" s="709">
        <f t="shared" si="253"/>
        <v>39091.67</v>
      </c>
      <c r="BV264" s="187"/>
      <c r="BW264" s="1047">
        <f t="shared" si="266"/>
        <v>0</v>
      </c>
      <c r="BX264" s="187">
        <f t="shared" si="267"/>
        <v>630</v>
      </c>
      <c r="BY264" s="117">
        <f t="shared" si="268"/>
        <v>22732905.09</v>
      </c>
      <c r="BZ264" s="117"/>
    </row>
    <row r="265" spans="1:78" s="116" customFormat="1" ht="16.5">
      <c r="A265" s="376">
        <v>52</v>
      </c>
      <c r="B265" s="377" t="s">
        <v>606</v>
      </c>
      <c r="C265" s="378"/>
      <c r="D265" s="709">
        <f t="shared" si="225"/>
        <v>31250.82</v>
      </c>
      <c r="E265" s="187">
        <v>221</v>
      </c>
      <c r="F265" s="709">
        <f t="shared" si="226"/>
        <v>38535.26</v>
      </c>
      <c r="G265" s="187">
        <v>192</v>
      </c>
      <c r="H265" s="709">
        <f t="shared" si="227"/>
        <v>36779.949999999997</v>
      </c>
      <c r="I265" s="187">
        <v>13</v>
      </c>
      <c r="J265" s="711">
        <f t="shared" si="254"/>
        <v>14783340.49</v>
      </c>
      <c r="K265" s="709">
        <f t="shared" si="228"/>
        <v>35546.49</v>
      </c>
      <c r="L265" s="187"/>
      <c r="M265" s="709">
        <f t="shared" si="229"/>
        <v>43923.6</v>
      </c>
      <c r="N265" s="187"/>
      <c r="O265" s="709">
        <f t="shared" si="230"/>
        <v>41904.99</v>
      </c>
      <c r="P265" s="187"/>
      <c r="Q265" s="711">
        <f t="shared" si="255"/>
        <v>0</v>
      </c>
      <c r="R265" s="709">
        <f t="shared" si="231"/>
        <v>41274.050000000003</v>
      </c>
      <c r="S265" s="187"/>
      <c r="T265" s="709">
        <f t="shared" si="232"/>
        <v>51108.05</v>
      </c>
      <c r="U265" s="187"/>
      <c r="V265" s="709">
        <f t="shared" si="233"/>
        <v>48738.38</v>
      </c>
      <c r="W265" s="187"/>
      <c r="X265" s="711">
        <f t="shared" si="256"/>
        <v>0</v>
      </c>
      <c r="Y265" s="709">
        <f t="shared" si="234"/>
        <v>45569.73</v>
      </c>
      <c r="Z265" s="187">
        <v>35</v>
      </c>
      <c r="AA265" s="709">
        <f t="shared" si="235"/>
        <v>56496.39</v>
      </c>
      <c r="AB265" s="187">
        <v>40</v>
      </c>
      <c r="AC265" s="711">
        <f t="shared" si="257"/>
        <v>3854796.15</v>
      </c>
      <c r="AD265" s="709">
        <f t="shared" si="236"/>
        <v>54161.08</v>
      </c>
      <c r="AE265" s="187">
        <v>3</v>
      </c>
      <c r="AF265" s="709">
        <f t="shared" si="237"/>
        <v>67273.070000000007</v>
      </c>
      <c r="AG265" s="187">
        <v>3</v>
      </c>
      <c r="AH265" s="709">
        <f t="shared" si="238"/>
        <v>64113.51</v>
      </c>
      <c r="AI265" s="187"/>
      <c r="AJ265" s="711">
        <f t="shared" si="258"/>
        <v>364302.45</v>
      </c>
      <c r="AK265" s="709">
        <f t="shared" si="239"/>
        <v>29360.82</v>
      </c>
      <c r="AL265" s="187"/>
      <c r="AM265" s="709">
        <f t="shared" si="240"/>
        <v>36645.26</v>
      </c>
      <c r="AN265" s="187"/>
      <c r="AO265" s="709">
        <f t="shared" si="241"/>
        <v>34889.949999999997</v>
      </c>
      <c r="AP265" s="187"/>
      <c r="AQ265" s="711">
        <f t="shared" si="259"/>
        <v>0</v>
      </c>
      <c r="AR265" s="709">
        <f t="shared" si="242"/>
        <v>35718.379999999997</v>
      </c>
      <c r="AS265" s="187"/>
      <c r="AT265" s="711">
        <f t="shared" si="260"/>
        <v>0</v>
      </c>
      <c r="AU265" s="712">
        <f t="shared" si="261"/>
        <v>19002439.09</v>
      </c>
      <c r="AV265" s="187"/>
      <c r="AW265" s="709">
        <f t="shared" si="243"/>
        <v>65258.22</v>
      </c>
      <c r="AX265" s="187"/>
      <c r="AY265" s="709">
        <f t="shared" si="244"/>
        <v>81192.94</v>
      </c>
      <c r="AZ265" s="187"/>
      <c r="BA265" s="709">
        <f t="shared" si="245"/>
        <v>77353.2</v>
      </c>
      <c r="BB265" s="187"/>
      <c r="BC265" s="711">
        <f t="shared" si="262"/>
        <v>0</v>
      </c>
      <c r="BD265" s="709">
        <f t="shared" si="246"/>
        <v>77787.27</v>
      </c>
      <c r="BE265" s="187"/>
      <c r="BF265" s="709">
        <f t="shared" si="247"/>
        <v>96908.93</v>
      </c>
      <c r="BG265" s="187"/>
      <c r="BH265" s="711">
        <f t="shared" si="263"/>
        <v>0</v>
      </c>
      <c r="BI265" s="713">
        <f t="shared" si="264"/>
        <v>0</v>
      </c>
      <c r="BJ265" s="709">
        <f t="shared" si="248"/>
        <v>25708.01</v>
      </c>
      <c r="BK265" s="187"/>
      <c r="BL265" s="709">
        <f t="shared" si="249"/>
        <v>27763.9</v>
      </c>
      <c r="BM265" s="187"/>
      <c r="BN265" s="709">
        <f t="shared" si="250"/>
        <v>23851.91</v>
      </c>
      <c r="BO265" s="187"/>
      <c r="BP265" s="711">
        <f t="shared" si="265"/>
        <v>0</v>
      </c>
      <c r="BQ265" s="709">
        <f t="shared" si="251"/>
        <v>42444.76</v>
      </c>
      <c r="BR265" s="187"/>
      <c r="BS265" s="709">
        <f t="shared" si="252"/>
        <v>46158.78</v>
      </c>
      <c r="BT265" s="187"/>
      <c r="BU265" s="709">
        <f t="shared" si="253"/>
        <v>39091.67</v>
      </c>
      <c r="BV265" s="187"/>
      <c r="BW265" s="1047">
        <f t="shared" si="266"/>
        <v>0</v>
      </c>
      <c r="BX265" s="187">
        <f t="shared" si="267"/>
        <v>507</v>
      </c>
      <c r="BY265" s="117">
        <f t="shared" si="268"/>
        <v>19002439.09</v>
      </c>
      <c r="BZ265" s="117"/>
    </row>
    <row r="266" spans="1:78" s="116" customFormat="1" ht="16.5">
      <c r="A266" s="376">
        <v>53</v>
      </c>
      <c r="B266" s="377" t="s">
        <v>607</v>
      </c>
      <c r="C266" s="378"/>
      <c r="D266" s="709">
        <f t="shared" si="225"/>
        <v>31250.82</v>
      </c>
      <c r="E266" s="187">
        <v>363</v>
      </c>
      <c r="F266" s="709">
        <f t="shared" si="226"/>
        <v>38535.26</v>
      </c>
      <c r="G266" s="187">
        <v>341</v>
      </c>
      <c r="H266" s="709">
        <f t="shared" si="227"/>
        <v>36779.949999999997</v>
      </c>
      <c r="I266" s="187">
        <v>53</v>
      </c>
      <c r="J266" s="711">
        <f t="shared" si="254"/>
        <v>26433908.670000002</v>
      </c>
      <c r="K266" s="709">
        <f t="shared" si="228"/>
        <v>35546.49</v>
      </c>
      <c r="L266" s="187">
        <v>103</v>
      </c>
      <c r="M266" s="709">
        <f t="shared" si="229"/>
        <v>43923.6</v>
      </c>
      <c r="N266" s="187">
        <v>140</v>
      </c>
      <c r="O266" s="709">
        <f t="shared" si="230"/>
        <v>41904.99</v>
      </c>
      <c r="P266" s="187">
        <v>53</v>
      </c>
      <c r="Q266" s="711">
        <f t="shared" si="255"/>
        <v>12031556.939999999</v>
      </c>
      <c r="R266" s="709">
        <f t="shared" si="231"/>
        <v>41274.050000000003</v>
      </c>
      <c r="S266" s="187"/>
      <c r="T266" s="709">
        <f t="shared" si="232"/>
        <v>51108.05</v>
      </c>
      <c r="U266" s="187"/>
      <c r="V266" s="709">
        <f t="shared" si="233"/>
        <v>48738.38</v>
      </c>
      <c r="W266" s="187"/>
      <c r="X266" s="711">
        <f t="shared" si="256"/>
        <v>0</v>
      </c>
      <c r="Y266" s="709">
        <f t="shared" si="234"/>
        <v>45569.73</v>
      </c>
      <c r="Z266" s="187"/>
      <c r="AA266" s="709">
        <f t="shared" si="235"/>
        <v>56496.39</v>
      </c>
      <c r="AB266" s="187"/>
      <c r="AC266" s="711">
        <f t="shared" si="257"/>
        <v>0</v>
      </c>
      <c r="AD266" s="709">
        <f t="shared" si="236"/>
        <v>54161.08</v>
      </c>
      <c r="AE266" s="187">
        <v>8</v>
      </c>
      <c r="AF266" s="709">
        <f t="shared" si="237"/>
        <v>67273.070000000007</v>
      </c>
      <c r="AG266" s="187">
        <v>15</v>
      </c>
      <c r="AH266" s="709">
        <f t="shared" si="238"/>
        <v>64113.51</v>
      </c>
      <c r="AI266" s="187">
        <v>2</v>
      </c>
      <c r="AJ266" s="711">
        <f t="shared" si="258"/>
        <v>1570611.71</v>
      </c>
      <c r="AK266" s="709">
        <f t="shared" si="239"/>
        <v>29360.82</v>
      </c>
      <c r="AL266" s="187"/>
      <c r="AM266" s="709">
        <f t="shared" si="240"/>
        <v>36645.26</v>
      </c>
      <c r="AN266" s="187"/>
      <c r="AO266" s="709">
        <f t="shared" si="241"/>
        <v>34889.949999999997</v>
      </c>
      <c r="AP266" s="187"/>
      <c r="AQ266" s="711">
        <f t="shared" si="259"/>
        <v>0</v>
      </c>
      <c r="AR266" s="709">
        <f t="shared" si="242"/>
        <v>35718.379999999997</v>
      </c>
      <c r="AS266" s="187"/>
      <c r="AT266" s="711">
        <f t="shared" si="260"/>
        <v>0</v>
      </c>
      <c r="AU266" s="712">
        <f t="shared" si="261"/>
        <v>40036077.32</v>
      </c>
      <c r="AV266" s="187"/>
      <c r="AW266" s="709">
        <f t="shared" si="243"/>
        <v>65258.22</v>
      </c>
      <c r="AX266" s="187"/>
      <c r="AY266" s="709">
        <f t="shared" si="244"/>
        <v>81192.94</v>
      </c>
      <c r="AZ266" s="187"/>
      <c r="BA266" s="709">
        <f t="shared" si="245"/>
        <v>77353.2</v>
      </c>
      <c r="BB266" s="187"/>
      <c r="BC266" s="711">
        <f t="shared" si="262"/>
        <v>0</v>
      </c>
      <c r="BD266" s="709">
        <f t="shared" si="246"/>
        <v>77787.27</v>
      </c>
      <c r="BE266" s="187"/>
      <c r="BF266" s="709">
        <f t="shared" si="247"/>
        <v>96908.93</v>
      </c>
      <c r="BG266" s="187"/>
      <c r="BH266" s="711">
        <f t="shared" si="263"/>
        <v>0</v>
      </c>
      <c r="BI266" s="713">
        <f t="shared" si="264"/>
        <v>0</v>
      </c>
      <c r="BJ266" s="709">
        <f t="shared" si="248"/>
        <v>25708.01</v>
      </c>
      <c r="BK266" s="187"/>
      <c r="BL266" s="709">
        <f t="shared" si="249"/>
        <v>27763.9</v>
      </c>
      <c r="BM266" s="187"/>
      <c r="BN266" s="709">
        <f t="shared" si="250"/>
        <v>23851.91</v>
      </c>
      <c r="BO266" s="187"/>
      <c r="BP266" s="711">
        <f t="shared" si="265"/>
        <v>0</v>
      </c>
      <c r="BQ266" s="709">
        <f t="shared" si="251"/>
        <v>42444.76</v>
      </c>
      <c r="BR266" s="187"/>
      <c r="BS266" s="709">
        <f t="shared" si="252"/>
        <v>46158.78</v>
      </c>
      <c r="BT266" s="187"/>
      <c r="BU266" s="709">
        <f t="shared" si="253"/>
        <v>39091.67</v>
      </c>
      <c r="BV266" s="187"/>
      <c r="BW266" s="1047">
        <f t="shared" si="266"/>
        <v>0</v>
      </c>
      <c r="BX266" s="187">
        <f t="shared" si="267"/>
        <v>1078</v>
      </c>
      <c r="BY266" s="117">
        <f t="shared" si="268"/>
        <v>40036077.32</v>
      </c>
      <c r="BZ266" s="117"/>
    </row>
    <row r="267" spans="1:78" s="116" customFormat="1" ht="16.5">
      <c r="A267" s="376">
        <v>54</v>
      </c>
      <c r="B267" s="377" t="s">
        <v>608</v>
      </c>
      <c r="C267" s="378"/>
      <c r="D267" s="709">
        <f t="shared" si="225"/>
        <v>31250.82</v>
      </c>
      <c r="E267" s="187">
        <v>381</v>
      </c>
      <c r="F267" s="709">
        <f t="shared" si="226"/>
        <v>38535.26</v>
      </c>
      <c r="G267" s="187">
        <v>269</v>
      </c>
      <c r="H267" s="709">
        <f t="shared" si="227"/>
        <v>36779.949999999997</v>
      </c>
      <c r="I267" s="187">
        <v>49</v>
      </c>
      <c r="J267" s="711">
        <f t="shared" si="254"/>
        <v>24074764.91</v>
      </c>
      <c r="K267" s="709">
        <f t="shared" si="228"/>
        <v>35546.49</v>
      </c>
      <c r="L267" s="187"/>
      <c r="M267" s="709">
        <f t="shared" si="229"/>
        <v>43923.6</v>
      </c>
      <c r="N267" s="187"/>
      <c r="O267" s="709">
        <f t="shared" si="230"/>
        <v>41904.99</v>
      </c>
      <c r="P267" s="187"/>
      <c r="Q267" s="711">
        <f t="shared" si="255"/>
        <v>0</v>
      </c>
      <c r="R267" s="709">
        <f t="shared" si="231"/>
        <v>41274.050000000003</v>
      </c>
      <c r="S267" s="187"/>
      <c r="T267" s="709">
        <f t="shared" si="232"/>
        <v>51108.05</v>
      </c>
      <c r="U267" s="187"/>
      <c r="V267" s="709">
        <f t="shared" si="233"/>
        <v>48738.38</v>
      </c>
      <c r="W267" s="187"/>
      <c r="X267" s="711">
        <f t="shared" si="256"/>
        <v>0</v>
      </c>
      <c r="Y267" s="709">
        <f t="shared" si="234"/>
        <v>45569.73</v>
      </c>
      <c r="Z267" s="187"/>
      <c r="AA267" s="709">
        <f t="shared" si="235"/>
        <v>56496.39</v>
      </c>
      <c r="AB267" s="187"/>
      <c r="AC267" s="711">
        <f t="shared" si="257"/>
        <v>0</v>
      </c>
      <c r="AD267" s="709">
        <f t="shared" si="236"/>
        <v>54161.08</v>
      </c>
      <c r="AE267" s="187">
        <v>7</v>
      </c>
      <c r="AF267" s="709">
        <f t="shared" si="237"/>
        <v>67273.070000000007</v>
      </c>
      <c r="AG267" s="187">
        <v>6</v>
      </c>
      <c r="AH267" s="709">
        <f t="shared" si="238"/>
        <v>64113.51</v>
      </c>
      <c r="AI267" s="187"/>
      <c r="AJ267" s="711">
        <f t="shared" si="258"/>
        <v>782765.98</v>
      </c>
      <c r="AK267" s="709">
        <f t="shared" si="239"/>
        <v>29360.82</v>
      </c>
      <c r="AL267" s="187"/>
      <c r="AM267" s="709">
        <f t="shared" si="240"/>
        <v>36645.26</v>
      </c>
      <c r="AN267" s="187"/>
      <c r="AO267" s="709">
        <f t="shared" si="241"/>
        <v>34889.949999999997</v>
      </c>
      <c r="AP267" s="187"/>
      <c r="AQ267" s="711">
        <f t="shared" si="259"/>
        <v>0</v>
      </c>
      <c r="AR267" s="709">
        <f t="shared" si="242"/>
        <v>35718.379999999997</v>
      </c>
      <c r="AS267" s="187"/>
      <c r="AT267" s="711">
        <f t="shared" si="260"/>
        <v>0</v>
      </c>
      <c r="AU267" s="712">
        <f t="shared" si="261"/>
        <v>24857530.890000001</v>
      </c>
      <c r="AV267" s="187"/>
      <c r="AW267" s="709">
        <f t="shared" si="243"/>
        <v>65258.22</v>
      </c>
      <c r="AX267" s="187"/>
      <c r="AY267" s="709">
        <f t="shared" si="244"/>
        <v>81192.94</v>
      </c>
      <c r="AZ267" s="187"/>
      <c r="BA267" s="709">
        <f t="shared" si="245"/>
        <v>77353.2</v>
      </c>
      <c r="BB267" s="187"/>
      <c r="BC267" s="711">
        <f t="shared" si="262"/>
        <v>0</v>
      </c>
      <c r="BD267" s="709">
        <f t="shared" si="246"/>
        <v>77787.27</v>
      </c>
      <c r="BE267" s="187"/>
      <c r="BF267" s="709">
        <f t="shared" si="247"/>
        <v>96908.93</v>
      </c>
      <c r="BG267" s="187"/>
      <c r="BH267" s="711">
        <f t="shared" si="263"/>
        <v>0</v>
      </c>
      <c r="BI267" s="713">
        <f t="shared" si="264"/>
        <v>0</v>
      </c>
      <c r="BJ267" s="709">
        <f t="shared" si="248"/>
        <v>25708.01</v>
      </c>
      <c r="BK267" s="187"/>
      <c r="BL267" s="709">
        <f t="shared" si="249"/>
        <v>27763.9</v>
      </c>
      <c r="BM267" s="187"/>
      <c r="BN267" s="709">
        <f t="shared" si="250"/>
        <v>23851.91</v>
      </c>
      <c r="BO267" s="187"/>
      <c r="BP267" s="711">
        <f t="shared" si="265"/>
        <v>0</v>
      </c>
      <c r="BQ267" s="709">
        <f t="shared" si="251"/>
        <v>42444.76</v>
      </c>
      <c r="BR267" s="187"/>
      <c r="BS267" s="709">
        <f t="shared" si="252"/>
        <v>46158.78</v>
      </c>
      <c r="BT267" s="187"/>
      <c r="BU267" s="709">
        <f t="shared" si="253"/>
        <v>39091.67</v>
      </c>
      <c r="BV267" s="187"/>
      <c r="BW267" s="1047">
        <f t="shared" si="266"/>
        <v>0</v>
      </c>
      <c r="BX267" s="187">
        <f t="shared" si="267"/>
        <v>712</v>
      </c>
      <c r="BY267" s="117">
        <f t="shared" si="268"/>
        <v>24857530.890000001</v>
      </c>
      <c r="BZ267" s="117"/>
    </row>
    <row r="268" spans="1:78" s="116" customFormat="1" ht="16.5">
      <c r="A268" s="376">
        <v>55</v>
      </c>
      <c r="B268" s="377" t="s">
        <v>609</v>
      </c>
      <c r="C268" s="378"/>
      <c r="D268" s="709">
        <f t="shared" si="225"/>
        <v>31250.82</v>
      </c>
      <c r="E268" s="187">
        <v>221</v>
      </c>
      <c r="F268" s="709">
        <f t="shared" si="226"/>
        <v>38535.26</v>
      </c>
      <c r="G268" s="187">
        <v>224</v>
      </c>
      <c r="H268" s="709">
        <f t="shared" si="227"/>
        <v>36779.949999999997</v>
      </c>
      <c r="I268" s="187">
        <v>69</v>
      </c>
      <c r="J268" s="711">
        <f t="shared" si="254"/>
        <v>18076146.010000002</v>
      </c>
      <c r="K268" s="709">
        <f t="shared" si="228"/>
        <v>35546.49</v>
      </c>
      <c r="L268" s="187">
        <v>98</v>
      </c>
      <c r="M268" s="709">
        <f t="shared" si="229"/>
        <v>43923.6</v>
      </c>
      <c r="N268" s="187">
        <v>117</v>
      </c>
      <c r="O268" s="709">
        <f t="shared" si="230"/>
        <v>41904.99</v>
      </c>
      <c r="P268" s="187"/>
      <c r="Q268" s="711">
        <f t="shared" si="255"/>
        <v>8622617.2200000007</v>
      </c>
      <c r="R268" s="709">
        <f t="shared" si="231"/>
        <v>41274.050000000003</v>
      </c>
      <c r="S268" s="187"/>
      <c r="T268" s="709">
        <f t="shared" si="232"/>
        <v>51108.05</v>
      </c>
      <c r="U268" s="187"/>
      <c r="V268" s="709">
        <f t="shared" si="233"/>
        <v>48738.38</v>
      </c>
      <c r="W268" s="187"/>
      <c r="X268" s="711">
        <f t="shared" si="256"/>
        <v>0</v>
      </c>
      <c r="Y268" s="709">
        <f t="shared" si="234"/>
        <v>45569.73</v>
      </c>
      <c r="Z268" s="187"/>
      <c r="AA268" s="709">
        <f t="shared" si="235"/>
        <v>56496.39</v>
      </c>
      <c r="AB268" s="187"/>
      <c r="AC268" s="711">
        <f t="shared" si="257"/>
        <v>0</v>
      </c>
      <c r="AD268" s="709">
        <f t="shared" si="236"/>
        <v>54161.08</v>
      </c>
      <c r="AE268" s="187">
        <v>6</v>
      </c>
      <c r="AF268" s="709">
        <f t="shared" si="237"/>
        <v>67273.070000000007</v>
      </c>
      <c r="AG268" s="187">
        <v>14</v>
      </c>
      <c r="AH268" s="709">
        <f t="shared" si="238"/>
        <v>64113.51</v>
      </c>
      <c r="AI268" s="187">
        <v>2</v>
      </c>
      <c r="AJ268" s="711">
        <f t="shared" si="258"/>
        <v>1395016.48</v>
      </c>
      <c r="AK268" s="709">
        <f t="shared" si="239"/>
        <v>29360.82</v>
      </c>
      <c r="AL268" s="187"/>
      <c r="AM268" s="709">
        <f t="shared" si="240"/>
        <v>36645.26</v>
      </c>
      <c r="AN268" s="187"/>
      <c r="AO268" s="709">
        <f t="shared" si="241"/>
        <v>34889.949999999997</v>
      </c>
      <c r="AP268" s="187"/>
      <c r="AQ268" s="711">
        <f t="shared" si="259"/>
        <v>0</v>
      </c>
      <c r="AR268" s="709">
        <f t="shared" si="242"/>
        <v>35718.379999999997</v>
      </c>
      <c r="AS268" s="187"/>
      <c r="AT268" s="711">
        <f t="shared" si="260"/>
        <v>0</v>
      </c>
      <c r="AU268" s="712">
        <f t="shared" si="261"/>
        <v>28093779.710000001</v>
      </c>
      <c r="AV268" s="187"/>
      <c r="AW268" s="709">
        <f t="shared" si="243"/>
        <v>65258.22</v>
      </c>
      <c r="AX268" s="187"/>
      <c r="AY268" s="709">
        <f t="shared" si="244"/>
        <v>81192.94</v>
      </c>
      <c r="AZ268" s="187"/>
      <c r="BA268" s="709">
        <f t="shared" si="245"/>
        <v>77353.2</v>
      </c>
      <c r="BB268" s="187"/>
      <c r="BC268" s="711">
        <f t="shared" si="262"/>
        <v>0</v>
      </c>
      <c r="BD268" s="709">
        <f t="shared" si="246"/>
        <v>77787.27</v>
      </c>
      <c r="BE268" s="187"/>
      <c r="BF268" s="709">
        <f t="shared" si="247"/>
        <v>96908.93</v>
      </c>
      <c r="BG268" s="187"/>
      <c r="BH268" s="711">
        <f t="shared" si="263"/>
        <v>0</v>
      </c>
      <c r="BI268" s="713">
        <f t="shared" si="264"/>
        <v>0</v>
      </c>
      <c r="BJ268" s="709">
        <f t="shared" si="248"/>
        <v>25708.01</v>
      </c>
      <c r="BK268" s="187"/>
      <c r="BL268" s="709">
        <f t="shared" si="249"/>
        <v>27763.9</v>
      </c>
      <c r="BM268" s="187"/>
      <c r="BN268" s="709">
        <f t="shared" si="250"/>
        <v>23851.91</v>
      </c>
      <c r="BO268" s="187"/>
      <c r="BP268" s="711">
        <f t="shared" si="265"/>
        <v>0</v>
      </c>
      <c r="BQ268" s="709">
        <f t="shared" si="251"/>
        <v>42444.76</v>
      </c>
      <c r="BR268" s="187"/>
      <c r="BS268" s="709">
        <f t="shared" si="252"/>
        <v>46158.78</v>
      </c>
      <c r="BT268" s="187"/>
      <c r="BU268" s="709">
        <f t="shared" si="253"/>
        <v>39091.67</v>
      </c>
      <c r="BV268" s="187"/>
      <c r="BW268" s="1047">
        <f t="shared" si="266"/>
        <v>0</v>
      </c>
      <c r="BX268" s="187">
        <f t="shared" si="267"/>
        <v>751</v>
      </c>
      <c r="BY268" s="117">
        <f t="shared" si="268"/>
        <v>28093779.710000001</v>
      </c>
      <c r="BZ268" s="117"/>
    </row>
    <row r="269" spans="1:78" s="116" customFormat="1" ht="16.5">
      <c r="A269" s="376">
        <v>56</v>
      </c>
      <c r="B269" s="377" t="s">
        <v>610</v>
      </c>
      <c r="C269" s="378"/>
      <c r="D269" s="709">
        <f t="shared" si="225"/>
        <v>31250.82</v>
      </c>
      <c r="E269" s="187">
        <v>137</v>
      </c>
      <c r="F269" s="709">
        <f t="shared" si="226"/>
        <v>38535.26</v>
      </c>
      <c r="G269" s="187">
        <v>214</v>
      </c>
      <c r="H269" s="709">
        <f t="shared" si="227"/>
        <v>36779.949999999997</v>
      </c>
      <c r="I269" s="187">
        <v>46</v>
      </c>
      <c r="J269" s="711">
        <f t="shared" si="254"/>
        <v>14219785.68</v>
      </c>
      <c r="K269" s="709">
        <f t="shared" si="228"/>
        <v>35546.49</v>
      </c>
      <c r="L269" s="187"/>
      <c r="M269" s="709">
        <f t="shared" si="229"/>
        <v>43923.6</v>
      </c>
      <c r="N269" s="187"/>
      <c r="O269" s="709">
        <f t="shared" si="230"/>
        <v>41904.99</v>
      </c>
      <c r="P269" s="187"/>
      <c r="Q269" s="711">
        <f t="shared" si="255"/>
        <v>0</v>
      </c>
      <c r="R269" s="709">
        <f t="shared" si="231"/>
        <v>41274.050000000003</v>
      </c>
      <c r="S269" s="187"/>
      <c r="T269" s="709">
        <f t="shared" si="232"/>
        <v>51108.05</v>
      </c>
      <c r="U269" s="187"/>
      <c r="V269" s="709">
        <f t="shared" si="233"/>
        <v>48738.38</v>
      </c>
      <c r="W269" s="187"/>
      <c r="X269" s="711">
        <f t="shared" si="256"/>
        <v>0</v>
      </c>
      <c r="Y269" s="709">
        <f t="shared" si="234"/>
        <v>45569.73</v>
      </c>
      <c r="Z269" s="187">
        <v>13</v>
      </c>
      <c r="AA269" s="709">
        <f t="shared" si="235"/>
        <v>56496.39</v>
      </c>
      <c r="AB269" s="187">
        <v>12</v>
      </c>
      <c r="AC269" s="711">
        <f t="shared" si="257"/>
        <v>1270363.17</v>
      </c>
      <c r="AD269" s="709">
        <f t="shared" si="236"/>
        <v>54161.08</v>
      </c>
      <c r="AE269" s="187">
        <v>3</v>
      </c>
      <c r="AF269" s="709">
        <f t="shared" si="237"/>
        <v>67273.070000000007</v>
      </c>
      <c r="AG269" s="187">
        <v>6</v>
      </c>
      <c r="AH269" s="709">
        <f t="shared" si="238"/>
        <v>64113.51</v>
      </c>
      <c r="AI269" s="187"/>
      <c r="AJ269" s="711">
        <f t="shared" si="258"/>
        <v>566121.66</v>
      </c>
      <c r="AK269" s="709">
        <f t="shared" si="239"/>
        <v>29360.82</v>
      </c>
      <c r="AL269" s="187"/>
      <c r="AM269" s="709">
        <f t="shared" si="240"/>
        <v>36645.26</v>
      </c>
      <c r="AN269" s="187"/>
      <c r="AO269" s="709">
        <f t="shared" si="241"/>
        <v>34889.949999999997</v>
      </c>
      <c r="AP269" s="187"/>
      <c r="AQ269" s="711">
        <f t="shared" si="259"/>
        <v>0</v>
      </c>
      <c r="AR269" s="709">
        <f t="shared" si="242"/>
        <v>35718.379999999997</v>
      </c>
      <c r="AS269" s="187"/>
      <c r="AT269" s="711">
        <f t="shared" si="260"/>
        <v>0</v>
      </c>
      <c r="AU269" s="712">
        <f t="shared" si="261"/>
        <v>16056270.51</v>
      </c>
      <c r="AV269" s="187"/>
      <c r="AW269" s="709">
        <f t="shared" si="243"/>
        <v>65258.22</v>
      </c>
      <c r="AX269" s="187"/>
      <c r="AY269" s="709">
        <f t="shared" si="244"/>
        <v>81192.94</v>
      </c>
      <c r="AZ269" s="187"/>
      <c r="BA269" s="709">
        <f t="shared" si="245"/>
        <v>77353.2</v>
      </c>
      <c r="BB269" s="187"/>
      <c r="BC269" s="711">
        <f t="shared" si="262"/>
        <v>0</v>
      </c>
      <c r="BD269" s="709">
        <f t="shared" si="246"/>
        <v>77787.27</v>
      </c>
      <c r="BE269" s="187"/>
      <c r="BF269" s="709">
        <f t="shared" si="247"/>
        <v>96908.93</v>
      </c>
      <c r="BG269" s="187"/>
      <c r="BH269" s="711">
        <f t="shared" si="263"/>
        <v>0</v>
      </c>
      <c r="BI269" s="713">
        <f t="shared" si="264"/>
        <v>0</v>
      </c>
      <c r="BJ269" s="709">
        <f t="shared" si="248"/>
        <v>25708.01</v>
      </c>
      <c r="BK269" s="187"/>
      <c r="BL269" s="709">
        <f t="shared" si="249"/>
        <v>27763.9</v>
      </c>
      <c r="BM269" s="187"/>
      <c r="BN269" s="709">
        <f t="shared" si="250"/>
        <v>23851.91</v>
      </c>
      <c r="BO269" s="187"/>
      <c r="BP269" s="711">
        <f t="shared" si="265"/>
        <v>0</v>
      </c>
      <c r="BQ269" s="709">
        <f t="shared" si="251"/>
        <v>42444.76</v>
      </c>
      <c r="BR269" s="187"/>
      <c r="BS269" s="709">
        <f t="shared" si="252"/>
        <v>46158.78</v>
      </c>
      <c r="BT269" s="187"/>
      <c r="BU269" s="709">
        <f t="shared" si="253"/>
        <v>39091.67</v>
      </c>
      <c r="BV269" s="187"/>
      <c r="BW269" s="1047">
        <f t="shared" si="266"/>
        <v>0</v>
      </c>
      <c r="BX269" s="187">
        <f t="shared" si="267"/>
        <v>431</v>
      </c>
      <c r="BY269" s="117">
        <f t="shared" si="268"/>
        <v>16056270.51</v>
      </c>
      <c r="BZ269" s="117"/>
    </row>
    <row r="270" spans="1:78" s="116" customFormat="1" ht="16.5">
      <c r="A270" s="376">
        <v>57</v>
      </c>
      <c r="B270" s="377" t="s">
        <v>611</v>
      </c>
      <c r="C270" s="378"/>
      <c r="D270" s="709">
        <f t="shared" si="225"/>
        <v>31250.82</v>
      </c>
      <c r="E270" s="187">
        <v>290</v>
      </c>
      <c r="F270" s="709">
        <f t="shared" si="226"/>
        <v>38535.26</v>
      </c>
      <c r="G270" s="187">
        <v>259</v>
      </c>
      <c r="H270" s="709">
        <f t="shared" si="227"/>
        <v>36779.949999999997</v>
      </c>
      <c r="I270" s="187">
        <v>26</v>
      </c>
      <c r="J270" s="711">
        <f t="shared" si="254"/>
        <v>19999648.84</v>
      </c>
      <c r="K270" s="709">
        <f t="shared" si="228"/>
        <v>35546.49</v>
      </c>
      <c r="L270" s="187">
        <v>111</v>
      </c>
      <c r="M270" s="709">
        <f t="shared" si="229"/>
        <v>43923.6</v>
      </c>
      <c r="N270" s="187">
        <v>135</v>
      </c>
      <c r="O270" s="709">
        <f t="shared" si="230"/>
        <v>41904.99</v>
      </c>
      <c r="P270" s="187">
        <v>64</v>
      </c>
      <c r="Q270" s="711">
        <f t="shared" si="255"/>
        <v>12557265.75</v>
      </c>
      <c r="R270" s="709">
        <f t="shared" si="231"/>
        <v>41274.050000000003</v>
      </c>
      <c r="S270" s="187"/>
      <c r="T270" s="709">
        <f t="shared" si="232"/>
        <v>51108.05</v>
      </c>
      <c r="U270" s="187"/>
      <c r="V270" s="709">
        <f t="shared" si="233"/>
        <v>48738.38</v>
      </c>
      <c r="W270" s="187"/>
      <c r="X270" s="711">
        <f t="shared" si="256"/>
        <v>0</v>
      </c>
      <c r="Y270" s="709">
        <f t="shared" si="234"/>
        <v>45569.73</v>
      </c>
      <c r="Z270" s="187"/>
      <c r="AA270" s="709">
        <f t="shared" si="235"/>
        <v>56496.39</v>
      </c>
      <c r="AB270" s="187">
        <v>18</v>
      </c>
      <c r="AC270" s="711">
        <f t="shared" si="257"/>
        <v>1016935.02</v>
      </c>
      <c r="AD270" s="709">
        <f t="shared" si="236"/>
        <v>54161.08</v>
      </c>
      <c r="AE270" s="187">
        <v>3</v>
      </c>
      <c r="AF270" s="709">
        <f t="shared" si="237"/>
        <v>67273.070000000007</v>
      </c>
      <c r="AG270" s="187">
        <v>7</v>
      </c>
      <c r="AH270" s="709">
        <f t="shared" si="238"/>
        <v>64113.51</v>
      </c>
      <c r="AI270" s="187"/>
      <c r="AJ270" s="711">
        <f t="shared" si="258"/>
        <v>633394.73</v>
      </c>
      <c r="AK270" s="709">
        <f t="shared" si="239"/>
        <v>29360.82</v>
      </c>
      <c r="AL270" s="187"/>
      <c r="AM270" s="709">
        <f t="shared" si="240"/>
        <v>36645.26</v>
      </c>
      <c r="AN270" s="187"/>
      <c r="AO270" s="709">
        <f t="shared" si="241"/>
        <v>34889.949999999997</v>
      </c>
      <c r="AP270" s="187"/>
      <c r="AQ270" s="711">
        <f t="shared" si="259"/>
        <v>0</v>
      </c>
      <c r="AR270" s="709">
        <f t="shared" si="242"/>
        <v>35718.379999999997</v>
      </c>
      <c r="AS270" s="187"/>
      <c r="AT270" s="711">
        <f t="shared" si="260"/>
        <v>0</v>
      </c>
      <c r="AU270" s="712">
        <f t="shared" si="261"/>
        <v>34207244.340000004</v>
      </c>
      <c r="AV270" s="187"/>
      <c r="AW270" s="709">
        <f t="shared" si="243"/>
        <v>65258.22</v>
      </c>
      <c r="AX270" s="187"/>
      <c r="AY270" s="709">
        <f t="shared" si="244"/>
        <v>81192.94</v>
      </c>
      <c r="AZ270" s="187"/>
      <c r="BA270" s="709">
        <f t="shared" si="245"/>
        <v>77353.2</v>
      </c>
      <c r="BB270" s="187"/>
      <c r="BC270" s="711">
        <f t="shared" si="262"/>
        <v>0</v>
      </c>
      <c r="BD270" s="709">
        <f t="shared" si="246"/>
        <v>77787.27</v>
      </c>
      <c r="BE270" s="187"/>
      <c r="BF270" s="709">
        <f t="shared" si="247"/>
        <v>96908.93</v>
      </c>
      <c r="BG270" s="187"/>
      <c r="BH270" s="711">
        <f t="shared" si="263"/>
        <v>0</v>
      </c>
      <c r="BI270" s="713">
        <f t="shared" si="264"/>
        <v>0</v>
      </c>
      <c r="BJ270" s="709">
        <f t="shared" si="248"/>
        <v>25708.01</v>
      </c>
      <c r="BK270" s="187"/>
      <c r="BL270" s="709">
        <f t="shared" si="249"/>
        <v>27763.9</v>
      </c>
      <c r="BM270" s="187"/>
      <c r="BN270" s="709">
        <f t="shared" si="250"/>
        <v>23851.91</v>
      </c>
      <c r="BO270" s="187"/>
      <c r="BP270" s="711">
        <f t="shared" si="265"/>
        <v>0</v>
      </c>
      <c r="BQ270" s="709">
        <f t="shared" si="251"/>
        <v>42444.76</v>
      </c>
      <c r="BR270" s="187"/>
      <c r="BS270" s="709">
        <f t="shared" si="252"/>
        <v>46158.78</v>
      </c>
      <c r="BT270" s="187"/>
      <c r="BU270" s="709">
        <f t="shared" si="253"/>
        <v>39091.67</v>
      </c>
      <c r="BV270" s="187"/>
      <c r="BW270" s="1047">
        <f t="shared" si="266"/>
        <v>0</v>
      </c>
      <c r="BX270" s="187">
        <f t="shared" si="267"/>
        <v>913</v>
      </c>
      <c r="BY270" s="117">
        <f t="shared" si="268"/>
        <v>34207244.340000004</v>
      </c>
      <c r="BZ270" s="117"/>
    </row>
    <row r="271" spans="1:78" s="116" customFormat="1" ht="16.5">
      <c r="A271" s="376" t="s">
        <v>804</v>
      </c>
      <c r="B271" s="377" t="s">
        <v>612</v>
      </c>
      <c r="C271" s="378"/>
      <c r="D271" s="709">
        <f t="shared" si="225"/>
        <v>31250.82</v>
      </c>
      <c r="E271" s="187">
        <v>503</v>
      </c>
      <c r="F271" s="709">
        <f t="shared" si="226"/>
        <v>38535.26</v>
      </c>
      <c r="G271" s="187">
        <v>466</v>
      </c>
      <c r="H271" s="709">
        <f t="shared" si="227"/>
        <v>36779.949999999997</v>
      </c>
      <c r="I271" s="187">
        <v>84</v>
      </c>
      <c r="J271" s="711">
        <f t="shared" si="254"/>
        <v>36766109.420000002</v>
      </c>
      <c r="K271" s="709">
        <f t="shared" si="228"/>
        <v>35546.49</v>
      </c>
      <c r="L271" s="187"/>
      <c r="M271" s="709">
        <f t="shared" si="229"/>
        <v>43923.6</v>
      </c>
      <c r="N271" s="187"/>
      <c r="O271" s="709">
        <f t="shared" si="230"/>
        <v>41904.99</v>
      </c>
      <c r="P271" s="187"/>
      <c r="Q271" s="711">
        <f t="shared" si="255"/>
        <v>0</v>
      </c>
      <c r="R271" s="709">
        <f t="shared" si="231"/>
        <v>41274.050000000003</v>
      </c>
      <c r="S271" s="187"/>
      <c r="T271" s="709">
        <f t="shared" si="232"/>
        <v>51108.05</v>
      </c>
      <c r="U271" s="187"/>
      <c r="V271" s="709">
        <f t="shared" si="233"/>
        <v>48738.38</v>
      </c>
      <c r="W271" s="187"/>
      <c r="X271" s="711">
        <f t="shared" si="256"/>
        <v>0</v>
      </c>
      <c r="Y271" s="709">
        <f t="shared" si="234"/>
        <v>45569.73</v>
      </c>
      <c r="Z271" s="187"/>
      <c r="AA271" s="709">
        <f t="shared" si="235"/>
        <v>56496.39</v>
      </c>
      <c r="AB271" s="187">
        <v>8</v>
      </c>
      <c r="AC271" s="711">
        <f t="shared" si="257"/>
        <v>451971.12</v>
      </c>
      <c r="AD271" s="709">
        <f t="shared" si="236"/>
        <v>54161.08</v>
      </c>
      <c r="AE271" s="187">
        <v>10</v>
      </c>
      <c r="AF271" s="709">
        <f t="shared" si="237"/>
        <v>67273.070000000007</v>
      </c>
      <c r="AG271" s="187">
        <v>16</v>
      </c>
      <c r="AH271" s="709">
        <f t="shared" si="238"/>
        <v>64113.51</v>
      </c>
      <c r="AI271" s="187">
        <v>2</v>
      </c>
      <c r="AJ271" s="711">
        <f t="shared" si="258"/>
        <v>1746206.94</v>
      </c>
      <c r="AK271" s="709">
        <f t="shared" si="239"/>
        <v>29360.82</v>
      </c>
      <c r="AL271" s="187"/>
      <c r="AM271" s="709">
        <f t="shared" si="240"/>
        <v>36645.26</v>
      </c>
      <c r="AN271" s="187"/>
      <c r="AO271" s="709">
        <f t="shared" si="241"/>
        <v>34889.949999999997</v>
      </c>
      <c r="AP271" s="187"/>
      <c r="AQ271" s="711">
        <f t="shared" si="259"/>
        <v>0</v>
      </c>
      <c r="AR271" s="709">
        <f t="shared" si="242"/>
        <v>35718.379999999997</v>
      </c>
      <c r="AS271" s="187"/>
      <c r="AT271" s="711">
        <f t="shared" si="260"/>
        <v>0</v>
      </c>
      <c r="AU271" s="712">
        <f t="shared" si="261"/>
        <v>38964287.480000004</v>
      </c>
      <c r="AV271" s="187"/>
      <c r="AW271" s="709">
        <f t="shared" si="243"/>
        <v>65258.22</v>
      </c>
      <c r="AX271" s="187"/>
      <c r="AY271" s="709">
        <f t="shared" si="244"/>
        <v>81192.94</v>
      </c>
      <c r="AZ271" s="187"/>
      <c r="BA271" s="709">
        <f t="shared" si="245"/>
        <v>77353.2</v>
      </c>
      <c r="BB271" s="187"/>
      <c r="BC271" s="711">
        <f t="shared" si="262"/>
        <v>0</v>
      </c>
      <c r="BD271" s="709">
        <f t="shared" si="246"/>
        <v>77787.27</v>
      </c>
      <c r="BE271" s="187"/>
      <c r="BF271" s="709">
        <f t="shared" si="247"/>
        <v>96908.93</v>
      </c>
      <c r="BG271" s="187"/>
      <c r="BH271" s="711">
        <f t="shared" si="263"/>
        <v>0</v>
      </c>
      <c r="BI271" s="713">
        <f t="shared" si="264"/>
        <v>0</v>
      </c>
      <c r="BJ271" s="709">
        <f t="shared" si="248"/>
        <v>25708.01</v>
      </c>
      <c r="BK271" s="187"/>
      <c r="BL271" s="709">
        <f t="shared" si="249"/>
        <v>27763.9</v>
      </c>
      <c r="BM271" s="187"/>
      <c r="BN271" s="709">
        <f t="shared" si="250"/>
        <v>23851.91</v>
      </c>
      <c r="BO271" s="187"/>
      <c r="BP271" s="711">
        <f t="shared" si="265"/>
        <v>0</v>
      </c>
      <c r="BQ271" s="709">
        <f t="shared" si="251"/>
        <v>42444.76</v>
      </c>
      <c r="BR271" s="187"/>
      <c r="BS271" s="709">
        <f t="shared" si="252"/>
        <v>46158.78</v>
      </c>
      <c r="BT271" s="187"/>
      <c r="BU271" s="709">
        <f t="shared" si="253"/>
        <v>39091.67</v>
      </c>
      <c r="BV271" s="187"/>
      <c r="BW271" s="1047">
        <f t="shared" si="266"/>
        <v>0</v>
      </c>
      <c r="BX271" s="187">
        <f t="shared" si="267"/>
        <v>1089</v>
      </c>
      <c r="BY271" s="117">
        <f t="shared" si="268"/>
        <v>38964287.480000004</v>
      </c>
      <c r="BZ271" s="117"/>
    </row>
    <row r="272" spans="1:78" s="116" customFormat="1" ht="16.5">
      <c r="A272" s="376">
        <v>59</v>
      </c>
      <c r="B272" s="377" t="s">
        <v>613</v>
      </c>
      <c r="C272" s="378"/>
      <c r="D272" s="709">
        <f t="shared" si="225"/>
        <v>31250.82</v>
      </c>
      <c r="E272" s="187">
        <v>321</v>
      </c>
      <c r="F272" s="709">
        <f t="shared" si="226"/>
        <v>38535.26</v>
      </c>
      <c r="G272" s="187">
        <v>225</v>
      </c>
      <c r="H272" s="709">
        <f t="shared" si="227"/>
        <v>36779.949999999997</v>
      </c>
      <c r="I272" s="187">
        <v>67</v>
      </c>
      <c r="J272" s="711">
        <f t="shared" si="254"/>
        <v>21166203.370000001</v>
      </c>
      <c r="K272" s="709">
        <f t="shared" si="228"/>
        <v>35546.49</v>
      </c>
      <c r="L272" s="187">
        <v>85</v>
      </c>
      <c r="M272" s="709">
        <f t="shared" si="229"/>
        <v>43923.6</v>
      </c>
      <c r="N272" s="187">
        <v>269</v>
      </c>
      <c r="O272" s="709">
        <f t="shared" si="230"/>
        <v>41904.99</v>
      </c>
      <c r="P272" s="187"/>
      <c r="Q272" s="711">
        <f t="shared" si="255"/>
        <v>14836900.050000001</v>
      </c>
      <c r="R272" s="709">
        <f t="shared" si="231"/>
        <v>41274.050000000003</v>
      </c>
      <c r="S272" s="187"/>
      <c r="T272" s="709">
        <f t="shared" si="232"/>
        <v>51108.05</v>
      </c>
      <c r="U272" s="187"/>
      <c r="V272" s="709">
        <f t="shared" si="233"/>
        <v>48738.38</v>
      </c>
      <c r="W272" s="187"/>
      <c r="X272" s="711">
        <f t="shared" si="256"/>
        <v>0</v>
      </c>
      <c r="Y272" s="709">
        <f t="shared" si="234"/>
        <v>45569.73</v>
      </c>
      <c r="Z272" s="187"/>
      <c r="AA272" s="709">
        <f t="shared" si="235"/>
        <v>56496.39</v>
      </c>
      <c r="AB272" s="187"/>
      <c r="AC272" s="711">
        <f t="shared" si="257"/>
        <v>0</v>
      </c>
      <c r="AD272" s="709">
        <f t="shared" si="236"/>
        <v>54161.08</v>
      </c>
      <c r="AE272" s="187">
        <v>1</v>
      </c>
      <c r="AF272" s="709">
        <f t="shared" si="237"/>
        <v>67273.070000000007</v>
      </c>
      <c r="AG272" s="187">
        <v>1</v>
      </c>
      <c r="AH272" s="709">
        <f t="shared" si="238"/>
        <v>64113.51</v>
      </c>
      <c r="AI272" s="187"/>
      <c r="AJ272" s="711">
        <f t="shared" si="258"/>
        <v>121434.15</v>
      </c>
      <c r="AK272" s="709">
        <f t="shared" si="239"/>
        <v>29360.82</v>
      </c>
      <c r="AL272" s="187"/>
      <c r="AM272" s="709">
        <f t="shared" si="240"/>
        <v>36645.26</v>
      </c>
      <c r="AN272" s="187"/>
      <c r="AO272" s="709">
        <f t="shared" si="241"/>
        <v>34889.949999999997</v>
      </c>
      <c r="AP272" s="187"/>
      <c r="AQ272" s="711">
        <f t="shared" si="259"/>
        <v>0</v>
      </c>
      <c r="AR272" s="709">
        <f t="shared" si="242"/>
        <v>35718.379999999997</v>
      </c>
      <c r="AS272" s="187"/>
      <c r="AT272" s="711">
        <f t="shared" si="260"/>
        <v>0</v>
      </c>
      <c r="AU272" s="712">
        <f t="shared" si="261"/>
        <v>36124537.57</v>
      </c>
      <c r="AV272" s="187"/>
      <c r="AW272" s="709">
        <f t="shared" si="243"/>
        <v>65258.22</v>
      </c>
      <c r="AX272" s="187"/>
      <c r="AY272" s="709">
        <f t="shared" si="244"/>
        <v>81192.94</v>
      </c>
      <c r="AZ272" s="187"/>
      <c r="BA272" s="709">
        <f t="shared" si="245"/>
        <v>77353.2</v>
      </c>
      <c r="BB272" s="187"/>
      <c r="BC272" s="711">
        <f t="shared" si="262"/>
        <v>0</v>
      </c>
      <c r="BD272" s="709">
        <f t="shared" si="246"/>
        <v>77787.27</v>
      </c>
      <c r="BE272" s="187"/>
      <c r="BF272" s="709">
        <f t="shared" si="247"/>
        <v>96908.93</v>
      </c>
      <c r="BG272" s="187"/>
      <c r="BH272" s="711">
        <f t="shared" si="263"/>
        <v>0</v>
      </c>
      <c r="BI272" s="713">
        <f t="shared" si="264"/>
        <v>0</v>
      </c>
      <c r="BJ272" s="709">
        <f t="shared" si="248"/>
        <v>25708.01</v>
      </c>
      <c r="BK272" s="187"/>
      <c r="BL272" s="709">
        <f t="shared" si="249"/>
        <v>27763.9</v>
      </c>
      <c r="BM272" s="187"/>
      <c r="BN272" s="709">
        <f t="shared" si="250"/>
        <v>23851.91</v>
      </c>
      <c r="BO272" s="187"/>
      <c r="BP272" s="711">
        <f t="shared" si="265"/>
        <v>0</v>
      </c>
      <c r="BQ272" s="709">
        <f t="shared" si="251"/>
        <v>42444.76</v>
      </c>
      <c r="BR272" s="187"/>
      <c r="BS272" s="709">
        <f t="shared" si="252"/>
        <v>46158.78</v>
      </c>
      <c r="BT272" s="187"/>
      <c r="BU272" s="709">
        <f t="shared" si="253"/>
        <v>39091.67</v>
      </c>
      <c r="BV272" s="187"/>
      <c r="BW272" s="1047">
        <f t="shared" si="266"/>
        <v>0</v>
      </c>
      <c r="BX272" s="187">
        <f t="shared" si="267"/>
        <v>969</v>
      </c>
      <c r="BY272" s="117">
        <f t="shared" si="268"/>
        <v>36124537.57</v>
      </c>
      <c r="BZ272" s="117"/>
    </row>
    <row r="273" spans="1:79" s="116" customFormat="1" ht="16.5">
      <c r="A273" s="376">
        <v>60</v>
      </c>
      <c r="B273" s="377" t="s">
        <v>614</v>
      </c>
      <c r="C273" s="378"/>
      <c r="D273" s="709">
        <f t="shared" si="225"/>
        <v>31250.82</v>
      </c>
      <c r="E273" s="187">
        <v>244</v>
      </c>
      <c r="F273" s="709">
        <f t="shared" si="226"/>
        <v>38535.26</v>
      </c>
      <c r="G273" s="187">
        <v>216</v>
      </c>
      <c r="H273" s="709">
        <f t="shared" si="227"/>
        <v>36779.949999999997</v>
      </c>
      <c r="I273" s="187">
        <v>9</v>
      </c>
      <c r="J273" s="711">
        <f t="shared" si="254"/>
        <v>16279835.789999999</v>
      </c>
      <c r="K273" s="709">
        <f t="shared" si="228"/>
        <v>35546.49</v>
      </c>
      <c r="L273" s="187">
        <v>112</v>
      </c>
      <c r="M273" s="709">
        <f t="shared" si="229"/>
        <v>43923.6</v>
      </c>
      <c r="N273" s="187">
        <v>132</v>
      </c>
      <c r="O273" s="709">
        <f t="shared" si="230"/>
        <v>41904.99</v>
      </c>
      <c r="P273" s="187">
        <v>29</v>
      </c>
      <c r="Q273" s="711">
        <f t="shared" si="255"/>
        <v>10994366.789999999</v>
      </c>
      <c r="R273" s="709">
        <f t="shared" si="231"/>
        <v>41274.050000000003</v>
      </c>
      <c r="S273" s="187"/>
      <c r="T273" s="709">
        <f t="shared" si="232"/>
        <v>51108.05</v>
      </c>
      <c r="U273" s="187"/>
      <c r="V273" s="709">
        <f t="shared" si="233"/>
        <v>48738.38</v>
      </c>
      <c r="W273" s="187"/>
      <c r="X273" s="711">
        <f t="shared" si="256"/>
        <v>0</v>
      </c>
      <c r="Y273" s="709">
        <f t="shared" si="234"/>
        <v>45569.73</v>
      </c>
      <c r="Z273" s="187"/>
      <c r="AA273" s="709">
        <f t="shared" si="235"/>
        <v>56496.39</v>
      </c>
      <c r="AB273" s="187"/>
      <c r="AC273" s="711">
        <f t="shared" si="257"/>
        <v>0</v>
      </c>
      <c r="AD273" s="709">
        <f t="shared" si="236"/>
        <v>54161.08</v>
      </c>
      <c r="AE273" s="187">
        <v>5</v>
      </c>
      <c r="AF273" s="709">
        <f t="shared" si="237"/>
        <v>67273.070000000007</v>
      </c>
      <c r="AG273" s="187">
        <v>16</v>
      </c>
      <c r="AH273" s="709">
        <f t="shared" si="238"/>
        <v>64113.51</v>
      </c>
      <c r="AI273" s="187"/>
      <c r="AJ273" s="711">
        <f t="shared" si="258"/>
        <v>1347174.52</v>
      </c>
      <c r="AK273" s="709">
        <f t="shared" si="239"/>
        <v>29360.82</v>
      </c>
      <c r="AL273" s="187"/>
      <c r="AM273" s="709">
        <f t="shared" si="240"/>
        <v>36645.26</v>
      </c>
      <c r="AN273" s="187"/>
      <c r="AO273" s="709">
        <f t="shared" si="241"/>
        <v>34889.949999999997</v>
      </c>
      <c r="AP273" s="187"/>
      <c r="AQ273" s="711">
        <f t="shared" si="259"/>
        <v>0</v>
      </c>
      <c r="AR273" s="709">
        <f t="shared" si="242"/>
        <v>35718.379999999997</v>
      </c>
      <c r="AS273" s="187"/>
      <c r="AT273" s="711">
        <f t="shared" si="260"/>
        <v>0</v>
      </c>
      <c r="AU273" s="712">
        <f t="shared" si="261"/>
        <v>28621377.099999998</v>
      </c>
      <c r="AV273" s="187"/>
      <c r="AW273" s="709">
        <f t="shared" si="243"/>
        <v>65258.22</v>
      </c>
      <c r="AX273" s="187"/>
      <c r="AY273" s="709">
        <f t="shared" si="244"/>
        <v>81192.94</v>
      </c>
      <c r="AZ273" s="187"/>
      <c r="BA273" s="709">
        <f t="shared" si="245"/>
        <v>77353.2</v>
      </c>
      <c r="BB273" s="187"/>
      <c r="BC273" s="711">
        <f t="shared" si="262"/>
        <v>0</v>
      </c>
      <c r="BD273" s="709">
        <f t="shared" si="246"/>
        <v>77787.27</v>
      </c>
      <c r="BE273" s="187"/>
      <c r="BF273" s="709">
        <f t="shared" si="247"/>
        <v>96908.93</v>
      </c>
      <c r="BG273" s="187"/>
      <c r="BH273" s="711">
        <f t="shared" si="263"/>
        <v>0</v>
      </c>
      <c r="BI273" s="713">
        <f t="shared" si="264"/>
        <v>0</v>
      </c>
      <c r="BJ273" s="709">
        <f t="shared" si="248"/>
        <v>25708.01</v>
      </c>
      <c r="BK273" s="187"/>
      <c r="BL273" s="709">
        <f t="shared" si="249"/>
        <v>27763.9</v>
      </c>
      <c r="BM273" s="187"/>
      <c r="BN273" s="709">
        <f t="shared" si="250"/>
        <v>23851.91</v>
      </c>
      <c r="BO273" s="187"/>
      <c r="BP273" s="711">
        <f t="shared" si="265"/>
        <v>0</v>
      </c>
      <c r="BQ273" s="709">
        <f t="shared" si="251"/>
        <v>42444.76</v>
      </c>
      <c r="BR273" s="187"/>
      <c r="BS273" s="709">
        <f t="shared" si="252"/>
        <v>46158.78</v>
      </c>
      <c r="BT273" s="187"/>
      <c r="BU273" s="709">
        <f t="shared" si="253"/>
        <v>39091.67</v>
      </c>
      <c r="BV273" s="187"/>
      <c r="BW273" s="1047">
        <f t="shared" si="266"/>
        <v>0</v>
      </c>
      <c r="BX273" s="187">
        <f t="shared" si="267"/>
        <v>763</v>
      </c>
      <c r="BY273" s="117">
        <f t="shared" si="268"/>
        <v>28621377.099999998</v>
      </c>
      <c r="BZ273" s="117"/>
    </row>
    <row r="274" spans="1:79" s="116" customFormat="1" ht="16.5">
      <c r="A274" s="376">
        <v>61</v>
      </c>
      <c r="B274" s="377" t="s">
        <v>615</v>
      </c>
      <c r="C274" s="378"/>
      <c r="D274" s="709">
        <f t="shared" si="225"/>
        <v>31250.82</v>
      </c>
      <c r="E274" s="187">
        <v>529</v>
      </c>
      <c r="F274" s="709">
        <f t="shared" si="226"/>
        <v>38535.26</v>
      </c>
      <c r="G274" s="187">
        <v>476</v>
      </c>
      <c r="H274" s="709">
        <f t="shared" si="227"/>
        <v>36779.949999999997</v>
      </c>
      <c r="I274" s="187">
        <v>80</v>
      </c>
      <c r="J274" s="711">
        <f t="shared" si="254"/>
        <v>37816863.539999999</v>
      </c>
      <c r="K274" s="709">
        <f t="shared" si="228"/>
        <v>35546.49</v>
      </c>
      <c r="L274" s="187"/>
      <c r="M274" s="709">
        <f t="shared" si="229"/>
        <v>43923.6</v>
      </c>
      <c r="N274" s="187"/>
      <c r="O274" s="709">
        <f t="shared" si="230"/>
        <v>41904.99</v>
      </c>
      <c r="P274" s="187"/>
      <c r="Q274" s="711">
        <f t="shared" si="255"/>
        <v>0</v>
      </c>
      <c r="R274" s="709">
        <f t="shared" si="231"/>
        <v>41274.050000000003</v>
      </c>
      <c r="S274" s="187"/>
      <c r="T274" s="709">
        <f t="shared" si="232"/>
        <v>51108.05</v>
      </c>
      <c r="U274" s="187"/>
      <c r="V274" s="709">
        <f t="shared" si="233"/>
        <v>48738.38</v>
      </c>
      <c r="W274" s="187"/>
      <c r="X274" s="711">
        <f t="shared" si="256"/>
        <v>0</v>
      </c>
      <c r="Y274" s="709">
        <f t="shared" si="234"/>
        <v>45569.73</v>
      </c>
      <c r="Z274" s="187">
        <v>80</v>
      </c>
      <c r="AA274" s="709">
        <f t="shared" si="235"/>
        <v>56496.39</v>
      </c>
      <c r="AB274" s="187">
        <v>47</v>
      </c>
      <c r="AC274" s="711">
        <f t="shared" si="257"/>
        <v>6300908.7300000004</v>
      </c>
      <c r="AD274" s="709">
        <f t="shared" si="236"/>
        <v>54161.08</v>
      </c>
      <c r="AE274" s="187">
        <v>11</v>
      </c>
      <c r="AF274" s="709">
        <f t="shared" si="237"/>
        <v>67273.070000000007</v>
      </c>
      <c r="AG274" s="187">
        <v>21</v>
      </c>
      <c r="AH274" s="709">
        <f t="shared" si="238"/>
        <v>64113.51</v>
      </c>
      <c r="AI274" s="187">
        <v>3</v>
      </c>
      <c r="AJ274" s="711">
        <f t="shared" si="258"/>
        <v>2200846.88</v>
      </c>
      <c r="AK274" s="709">
        <f t="shared" si="239"/>
        <v>29360.82</v>
      </c>
      <c r="AL274" s="187"/>
      <c r="AM274" s="709">
        <f t="shared" si="240"/>
        <v>36645.26</v>
      </c>
      <c r="AN274" s="187"/>
      <c r="AO274" s="709">
        <f t="shared" si="241"/>
        <v>34889.949999999997</v>
      </c>
      <c r="AP274" s="187"/>
      <c r="AQ274" s="711">
        <f t="shared" si="259"/>
        <v>0</v>
      </c>
      <c r="AR274" s="709">
        <f t="shared" si="242"/>
        <v>35718.379999999997</v>
      </c>
      <c r="AS274" s="187"/>
      <c r="AT274" s="711">
        <f t="shared" si="260"/>
        <v>0</v>
      </c>
      <c r="AU274" s="712">
        <f t="shared" si="261"/>
        <v>46318619.149999999</v>
      </c>
      <c r="AV274" s="187"/>
      <c r="AW274" s="709">
        <f t="shared" si="243"/>
        <v>65258.22</v>
      </c>
      <c r="AX274" s="187"/>
      <c r="AY274" s="709">
        <f t="shared" si="244"/>
        <v>81192.94</v>
      </c>
      <c r="AZ274" s="187"/>
      <c r="BA274" s="709">
        <f t="shared" si="245"/>
        <v>77353.2</v>
      </c>
      <c r="BB274" s="187"/>
      <c r="BC274" s="711">
        <f t="shared" si="262"/>
        <v>0</v>
      </c>
      <c r="BD274" s="709">
        <f t="shared" si="246"/>
        <v>77787.27</v>
      </c>
      <c r="BE274" s="187"/>
      <c r="BF274" s="709">
        <f t="shared" si="247"/>
        <v>96908.93</v>
      </c>
      <c r="BG274" s="187"/>
      <c r="BH274" s="711">
        <f t="shared" si="263"/>
        <v>0</v>
      </c>
      <c r="BI274" s="713">
        <f t="shared" si="264"/>
        <v>0</v>
      </c>
      <c r="BJ274" s="709">
        <f t="shared" si="248"/>
        <v>25708.01</v>
      </c>
      <c r="BK274" s="187"/>
      <c r="BL274" s="709">
        <f t="shared" si="249"/>
        <v>27763.9</v>
      </c>
      <c r="BM274" s="187"/>
      <c r="BN274" s="709">
        <f t="shared" si="250"/>
        <v>23851.91</v>
      </c>
      <c r="BO274" s="187"/>
      <c r="BP274" s="711">
        <f t="shared" si="265"/>
        <v>0</v>
      </c>
      <c r="BQ274" s="709">
        <f t="shared" si="251"/>
        <v>42444.76</v>
      </c>
      <c r="BR274" s="187"/>
      <c r="BS274" s="709">
        <f t="shared" si="252"/>
        <v>46158.78</v>
      </c>
      <c r="BT274" s="187"/>
      <c r="BU274" s="709">
        <f t="shared" si="253"/>
        <v>39091.67</v>
      </c>
      <c r="BV274" s="187"/>
      <c r="BW274" s="1047">
        <f t="shared" si="266"/>
        <v>0</v>
      </c>
      <c r="BX274" s="187">
        <f t="shared" si="267"/>
        <v>1247</v>
      </c>
      <c r="BY274" s="117">
        <f t="shared" si="268"/>
        <v>46318619.149999999</v>
      </c>
      <c r="BZ274" s="117"/>
    </row>
    <row r="275" spans="1:79" s="116" customFormat="1" ht="16.5">
      <c r="A275" s="376" t="s">
        <v>805</v>
      </c>
      <c r="B275" s="377" t="s">
        <v>616</v>
      </c>
      <c r="C275" s="378"/>
      <c r="D275" s="709">
        <f t="shared" si="225"/>
        <v>31250.82</v>
      </c>
      <c r="E275" s="187">
        <v>300</v>
      </c>
      <c r="F275" s="709">
        <f t="shared" si="226"/>
        <v>38535.26</v>
      </c>
      <c r="G275" s="187">
        <v>312</v>
      </c>
      <c r="H275" s="709">
        <f t="shared" si="227"/>
        <v>36779.949999999997</v>
      </c>
      <c r="I275" s="187">
        <v>25</v>
      </c>
      <c r="J275" s="711">
        <f t="shared" si="254"/>
        <v>22317745.870000001</v>
      </c>
      <c r="K275" s="709">
        <f t="shared" si="228"/>
        <v>35546.49</v>
      </c>
      <c r="L275" s="187">
        <v>203</v>
      </c>
      <c r="M275" s="709">
        <f t="shared" si="229"/>
        <v>43923.6</v>
      </c>
      <c r="N275" s="187">
        <v>341</v>
      </c>
      <c r="O275" s="709">
        <f t="shared" si="230"/>
        <v>41904.99</v>
      </c>
      <c r="P275" s="187">
        <v>105</v>
      </c>
      <c r="Q275" s="711">
        <f t="shared" si="255"/>
        <v>26593909.02</v>
      </c>
      <c r="R275" s="709">
        <f t="shared" si="231"/>
        <v>41274.050000000003</v>
      </c>
      <c r="S275" s="187"/>
      <c r="T275" s="709">
        <f t="shared" si="232"/>
        <v>51108.05</v>
      </c>
      <c r="U275" s="187"/>
      <c r="V275" s="709">
        <f t="shared" si="233"/>
        <v>48738.38</v>
      </c>
      <c r="W275" s="187"/>
      <c r="X275" s="711">
        <f t="shared" si="256"/>
        <v>0</v>
      </c>
      <c r="Y275" s="709">
        <f t="shared" si="234"/>
        <v>45569.73</v>
      </c>
      <c r="Z275" s="187"/>
      <c r="AA275" s="709">
        <f t="shared" si="235"/>
        <v>56496.39</v>
      </c>
      <c r="AB275" s="187"/>
      <c r="AC275" s="711">
        <f t="shared" si="257"/>
        <v>0</v>
      </c>
      <c r="AD275" s="709">
        <f t="shared" si="236"/>
        <v>54161.08</v>
      </c>
      <c r="AE275" s="187">
        <v>2</v>
      </c>
      <c r="AF275" s="709">
        <f t="shared" si="237"/>
        <v>67273.070000000007</v>
      </c>
      <c r="AG275" s="187">
        <v>10</v>
      </c>
      <c r="AH275" s="709">
        <f t="shared" si="238"/>
        <v>64113.51</v>
      </c>
      <c r="AI275" s="187">
        <v>3</v>
      </c>
      <c r="AJ275" s="711">
        <f t="shared" si="258"/>
        <v>973393.39</v>
      </c>
      <c r="AK275" s="709">
        <f t="shared" si="239"/>
        <v>29360.82</v>
      </c>
      <c r="AL275" s="187"/>
      <c r="AM275" s="709">
        <f t="shared" si="240"/>
        <v>36645.26</v>
      </c>
      <c r="AN275" s="187"/>
      <c r="AO275" s="709">
        <f t="shared" si="241"/>
        <v>34889.949999999997</v>
      </c>
      <c r="AP275" s="187"/>
      <c r="AQ275" s="711">
        <f t="shared" si="259"/>
        <v>0</v>
      </c>
      <c r="AR275" s="709">
        <f t="shared" si="242"/>
        <v>35718.379999999997</v>
      </c>
      <c r="AS275" s="187"/>
      <c r="AT275" s="711">
        <f t="shared" si="260"/>
        <v>0</v>
      </c>
      <c r="AU275" s="712">
        <f t="shared" si="261"/>
        <v>49885048.280000001</v>
      </c>
      <c r="AV275" s="187"/>
      <c r="AW275" s="709">
        <f t="shared" si="243"/>
        <v>65258.22</v>
      </c>
      <c r="AX275" s="187"/>
      <c r="AY275" s="709">
        <f t="shared" si="244"/>
        <v>81192.94</v>
      </c>
      <c r="AZ275" s="187"/>
      <c r="BA275" s="709">
        <f t="shared" si="245"/>
        <v>77353.2</v>
      </c>
      <c r="BB275" s="187"/>
      <c r="BC275" s="711">
        <f t="shared" si="262"/>
        <v>0</v>
      </c>
      <c r="BD275" s="709">
        <f t="shared" si="246"/>
        <v>77787.27</v>
      </c>
      <c r="BE275" s="187"/>
      <c r="BF275" s="709">
        <f t="shared" si="247"/>
        <v>96908.93</v>
      </c>
      <c r="BG275" s="187"/>
      <c r="BH275" s="711">
        <f t="shared" si="263"/>
        <v>0</v>
      </c>
      <c r="BI275" s="713">
        <f t="shared" si="264"/>
        <v>0</v>
      </c>
      <c r="BJ275" s="709">
        <f t="shared" si="248"/>
        <v>25708.01</v>
      </c>
      <c r="BK275" s="187"/>
      <c r="BL275" s="709">
        <f t="shared" si="249"/>
        <v>27763.9</v>
      </c>
      <c r="BM275" s="187"/>
      <c r="BN275" s="709">
        <f t="shared" si="250"/>
        <v>23851.91</v>
      </c>
      <c r="BO275" s="187"/>
      <c r="BP275" s="711">
        <f t="shared" si="265"/>
        <v>0</v>
      </c>
      <c r="BQ275" s="709">
        <f t="shared" si="251"/>
        <v>42444.76</v>
      </c>
      <c r="BR275" s="187"/>
      <c r="BS275" s="709">
        <f t="shared" si="252"/>
        <v>46158.78</v>
      </c>
      <c r="BT275" s="187"/>
      <c r="BU275" s="709">
        <f t="shared" si="253"/>
        <v>39091.67</v>
      </c>
      <c r="BV275" s="187"/>
      <c r="BW275" s="1047">
        <f t="shared" si="266"/>
        <v>0</v>
      </c>
      <c r="BX275" s="187">
        <f t="shared" si="267"/>
        <v>1301</v>
      </c>
      <c r="BY275" s="117">
        <f t="shared" si="268"/>
        <v>49885048.280000001</v>
      </c>
      <c r="BZ275" s="117"/>
    </row>
    <row r="276" spans="1:79" s="116" customFormat="1" ht="16.5">
      <c r="A276" s="376">
        <v>63</v>
      </c>
      <c r="B276" s="377" t="s">
        <v>617</v>
      </c>
      <c r="C276" s="378"/>
      <c r="D276" s="709">
        <f t="shared" ref="D276:D282" si="269">D277</f>
        <v>31250.82</v>
      </c>
      <c r="E276" s="187">
        <v>525</v>
      </c>
      <c r="F276" s="709">
        <f t="shared" ref="F276:F282" si="270">F277</f>
        <v>38535.26</v>
      </c>
      <c r="G276" s="187">
        <v>443</v>
      </c>
      <c r="H276" s="709">
        <f t="shared" ref="H276:H282" si="271">H277</f>
        <v>36779.949999999997</v>
      </c>
      <c r="I276" s="187">
        <v>53</v>
      </c>
      <c r="J276" s="711">
        <f t="shared" si="254"/>
        <v>35427138.030000001</v>
      </c>
      <c r="K276" s="709">
        <f t="shared" ref="K276:K282" si="272">K277</f>
        <v>35546.49</v>
      </c>
      <c r="L276" s="187"/>
      <c r="M276" s="709">
        <f t="shared" ref="M276:M282" si="273">M277</f>
        <v>43923.6</v>
      </c>
      <c r="N276" s="187"/>
      <c r="O276" s="709">
        <f t="shared" ref="O276:O282" si="274">O277</f>
        <v>41904.99</v>
      </c>
      <c r="P276" s="187"/>
      <c r="Q276" s="711">
        <f t="shared" si="255"/>
        <v>0</v>
      </c>
      <c r="R276" s="709">
        <f t="shared" ref="R276:R282" si="275">R277</f>
        <v>41274.050000000003</v>
      </c>
      <c r="S276" s="187"/>
      <c r="T276" s="709">
        <f t="shared" ref="T276:T282" si="276">T277</f>
        <v>51108.05</v>
      </c>
      <c r="U276" s="187"/>
      <c r="V276" s="709">
        <f t="shared" ref="V276:V282" si="277">V277</f>
        <v>48738.38</v>
      </c>
      <c r="W276" s="187"/>
      <c r="X276" s="711">
        <f t="shared" si="256"/>
        <v>0</v>
      </c>
      <c r="Y276" s="709">
        <f t="shared" ref="Y276:Y282" si="278">Y277</f>
        <v>45569.73</v>
      </c>
      <c r="Z276" s="187"/>
      <c r="AA276" s="709">
        <f t="shared" ref="AA276:AA282" si="279">AA277</f>
        <v>56496.39</v>
      </c>
      <c r="AB276" s="187"/>
      <c r="AC276" s="711">
        <f t="shared" si="257"/>
        <v>0</v>
      </c>
      <c r="AD276" s="709">
        <f t="shared" ref="AD276:AD282" si="280">AD277</f>
        <v>54161.08</v>
      </c>
      <c r="AE276" s="187">
        <v>4</v>
      </c>
      <c r="AF276" s="709">
        <f t="shared" ref="AF276:AF282" si="281">AF277</f>
        <v>67273.070000000007</v>
      </c>
      <c r="AG276" s="187">
        <v>3</v>
      </c>
      <c r="AH276" s="709">
        <f t="shared" ref="AH276:AH282" si="282">AH277</f>
        <v>64113.51</v>
      </c>
      <c r="AI276" s="187">
        <v>1</v>
      </c>
      <c r="AJ276" s="711">
        <f t="shared" si="258"/>
        <v>482577.04</v>
      </c>
      <c r="AK276" s="709">
        <f t="shared" ref="AK276:AK282" si="283">AK277</f>
        <v>29360.82</v>
      </c>
      <c r="AL276" s="187"/>
      <c r="AM276" s="709">
        <f t="shared" ref="AM276:AM282" si="284">AM277</f>
        <v>36645.26</v>
      </c>
      <c r="AN276" s="187"/>
      <c r="AO276" s="709">
        <f t="shared" ref="AO276:AO282" si="285">AO277</f>
        <v>34889.949999999997</v>
      </c>
      <c r="AP276" s="187"/>
      <c r="AQ276" s="711">
        <f t="shared" si="259"/>
        <v>0</v>
      </c>
      <c r="AR276" s="709">
        <f t="shared" ref="AR276:AR282" si="286">AR277</f>
        <v>35718.379999999997</v>
      </c>
      <c r="AS276" s="187"/>
      <c r="AT276" s="711">
        <f t="shared" si="260"/>
        <v>0</v>
      </c>
      <c r="AU276" s="712">
        <f t="shared" si="261"/>
        <v>35909715.07</v>
      </c>
      <c r="AV276" s="187"/>
      <c r="AW276" s="709">
        <f t="shared" ref="AW276:AW282" si="287">AW277</f>
        <v>65258.22</v>
      </c>
      <c r="AX276" s="187"/>
      <c r="AY276" s="709">
        <f t="shared" ref="AY276:AY282" si="288">AY277</f>
        <v>81192.94</v>
      </c>
      <c r="AZ276" s="187"/>
      <c r="BA276" s="709">
        <f t="shared" ref="BA276:BA282" si="289">BA277</f>
        <v>77353.2</v>
      </c>
      <c r="BB276" s="187"/>
      <c r="BC276" s="711">
        <f t="shared" si="262"/>
        <v>0</v>
      </c>
      <c r="BD276" s="709">
        <f t="shared" ref="BD276:BD282" si="290">BD277</f>
        <v>77787.27</v>
      </c>
      <c r="BE276" s="187"/>
      <c r="BF276" s="709">
        <f t="shared" ref="BF276:BF282" si="291">BF277</f>
        <v>96908.93</v>
      </c>
      <c r="BG276" s="187"/>
      <c r="BH276" s="711">
        <f t="shared" si="263"/>
        <v>0</v>
      </c>
      <c r="BI276" s="713">
        <f t="shared" si="264"/>
        <v>0</v>
      </c>
      <c r="BJ276" s="709">
        <f t="shared" ref="BJ276:BJ282" si="292">BJ277</f>
        <v>25708.01</v>
      </c>
      <c r="BK276" s="187"/>
      <c r="BL276" s="709">
        <f t="shared" ref="BL276:BL282" si="293">BL277</f>
        <v>27763.9</v>
      </c>
      <c r="BM276" s="187"/>
      <c r="BN276" s="709">
        <f t="shared" ref="BN276:BN282" si="294">BN277</f>
        <v>23851.91</v>
      </c>
      <c r="BO276" s="187"/>
      <c r="BP276" s="711">
        <f t="shared" si="265"/>
        <v>0</v>
      </c>
      <c r="BQ276" s="709">
        <f t="shared" ref="BQ276:BQ282" si="295">BQ277</f>
        <v>42444.76</v>
      </c>
      <c r="BR276" s="187"/>
      <c r="BS276" s="709">
        <f t="shared" ref="BS276:BS282" si="296">BS277</f>
        <v>46158.78</v>
      </c>
      <c r="BT276" s="187"/>
      <c r="BU276" s="709">
        <f t="shared" ref="BU276:BU282" si="297">BU277</f>
        <v>39091.67</v>
      </c>
      <c r="BV276" s="187"/>
      <c r="BW276" s="1047">
        <f t="shared" si="266"/>
        <v>0</v>
      </c>
      <c r="BX276" s="187">
        <f t="shared" si="267"/>
        <v>1029</v>
      </c>
      <c r="BY276" s="117">
        <f t="shared" si="268"/>
        <v>35909715.07</v>
      </c>
      <c r="BZ276" s="117"/>
    </row>
    <row r="277" spans="1:79" s="116" customFormat="1" ht="16.5">
      <c r="A277" s="376">
        <v>64</v>
      </c>
      <c r="B277" s="380" t="s">
        <v>618</v>
      </c>
      <c r="C277" s="378"/>
      <c r="D277" s="709">
        <f t="shared" si="269"/>
        <v>31250.82</v>
      </c>
      <c r="E277" s="187"/>
      <c r="F277" s="709">
        <f t="shared" si="270"/>
        <v>38535.26</v>
      </c>
      <c r="G277" s="187"/>
      <c r="H277" s="709">
        <f t="shared" si="271"/>
        <v>36779.949999999997</v>
      </c>
      <c r="I277" s="187"/>
      <c r="J277" s="711">
        <f t="shared" si="254"/>
        <v>0</v>
      </c>
      <c r="K277" s="709">
        <f t="shared" si="272"/>
        <v>35546.49</v>
      </c>
      <c r="L277" s="187"/>
      <c r="M277" s="709">
        <f t="shared" si="273"/>
        <v>43923.6</v>
      </c>
      <c r="N277" s="187"/>
      <c r="O277" s="709">
        <f t="shared" si="274"/>
        <v>41904.99</v>
      </c>
      <c r="P277" s="187"/>
      <c r="Q277" s="711">
        <f t="shared" si="255"/>
        <v>0</v>
      </c>
      <c r="R277" s="709">
        <f t="shared" si="275"/>
        <v>41274.050000000003</v>
      </c>
      <c r="S277" s="187"/>
      <c r="T277" s="709">
        <f t="shared" si="276"/>
        <v>51108.05</v>
      </c>
      <c r="U277" s="187"/>
      <c r="V277" s="709">
        <f t="shared" si="277"/>
        <v>48738.38</v>
      </c>
      <c r="W277" s="187"/>
      <c r="X277" s="711">
        <f t="shared" si="256"/>
        <v>0</v>
      </c>
      <c r="Y277" s="709">
        <f t="shared" si="278"/>
        <v>45569.73</v>
      </c>
      <c r="Z277" s="187"/>
      <c r="AA277" s="709">
        <f t="shared" si="279"/>
        <v>56496.39</v>
      </c>
      <c r="AB277" s="187">
        <v>7</v>
      </c>
      <c r="AC277" s="711">
        <f t="shared" si="257"/>
        <v>395474.73</v>
      </c>
      <c r="AD277" s="709">
        <f t="shared" si="280"/>
        <v>54161.08</v>
      </c>
      <c r="AE277" s="187"/>
      <c r="AF277" s="709">
        <f t="shared" si="281"/>
        <v>67273.070000000007</v>
      </c>
      <c r="AG277" s="187"/>
      <c r="AH277" s="709">
        <f t="shared" si="282"/>
        <v>64113.51</v>
      </c>
      <c r="AI277" s="187"/>
      <c r="AJ277" s="711">
        <f t="shared" si="258"/>
        <v>0</v>
      </c>
      <c r="AK277" s="709">
        <f t="shared" si="283"/>
        <v>29360.82</v>
      </c>
      <c r="AL277" s="187"/>
      <c r="AM277" s="709">
        <f t="shared" si="284"/>
        <v>36645.26</v>
      </c>
      <c r="AN277" s="187"/>
      <c r="AO277" s="709">
        <f t="shared" si="285"/>
        <v>34889.949999999997</v>
      </c>
      <c r="AP277" s="187"/>
      <c r="AQ277" s="711">
        <f t="shared" si="259"/>
        <v>0</v>
      </c>
      <c r="AR277" s="709">
        <f t="shared" si="286"/>
        <v>35718.379999999997</v>
      </c>
      <c r="AS277" s="187"/>
      <c r="AT277" s="711">
        <f t="shared" si="260"/>
        <v>0</v>
      </c>
      <c r="AU277" s="712">
        <f t="shared" si="261"/>
        <v>395474.73</v>
      </c>
      <c r="AV277" s="187"/>
      <c r="AW277" s="709">
        <f t="shared" si="287"/>
        <v>65258.22</v>
      </c>
      <c r="AX277" s="187"/>
      <c r="AY277" s="709">
        <f t="shared" si="288"/>
        <v>81192.94</v>
      </c>
      <c r="AZ277" s="187"/>
      <c r="BA277" s="709">
        <f t="shared" si="289"/>
        <v>77353.2</v>
      </c>
      <c r="BB277" s="187"/>
      <c r="BC277" s="711">
        <f t="shared" si="262"/>
        <v>0</v>
      </c>
      <c r="BD277" s="709">
        <f t="shared" si="290"/>
        <v>77787.27</v>
      </c>
      <c r="BE277" s="187"/>
      <c r="BF277" s="709">
        <f t="shared" si="291"/>
        <v>96908.93</v>
      </c>
      <c r="BG277" s="187"/>
      <c r="BH277" s="711">
        <f t="shared" si="263"/>
        <v>0</v>
      </c>
      <c r="BI277" s="713">
        <f t="shared" si="264"/>
        <v>0</v>
      </c>
      <c r="BJ277" s="709">
        <f t="shared" si="292"/>
        <v>25708.01</v>
      </c>
      <c r="BK277" s="187"/>
      <c r="BL277" s="709">
        <f t="shared" si="293"/>
        <v>27763.9</v>
      </c>
      <c r="BM277" s="187">
        <v>111</v>
      </c>
      <c r="BN277" s="709">
        <f t="shared" si="294"/>
        <v>23851.91</v>
      </c>
      <c r="BO277" s="187">
        <v>114</v>
      </c>
      <c r="BP277" s="711">
        <f t="shared" si="265"/>
        <v>5800910.6399999997</v>
      </c>
      <c r="BQ277" s="709">
        <f t="shared" si="295"/>
        <v>42444.76</v>
      </c>
      <c r="BR277" s="187"/>
      <c r="BS277" s="709">
        <f t="shared" si="296"/>
        <v>46158.78</v>
      </c>
      <c r="BT277" s="187"/>
      <c r="BU277" s="709">
        <f t="shared" si="297"/>
        <v>39091.67</v>
      </c>
      <c r="BV277" s="187"/>
      <c r="BW277" s="1047">
        <f t="shared" si="266"/>
        <v>0</v>
      </c>
      <c r="BX277" s="187">
        <f t="shared" si="267"/>
        <v>232</v>
      </c>
      <c r="BY277" s="117">
        <f t="shared" si="268"/>
        <v>6196385.3699999992</v>
      </c>
      <c r="BZ277" s="117"/>
    </row>
    <row r="278" spans="1:79" s="116" customFormat="1" ht="16.5">
      <c r="A278" s="376">
        <v>65</v>
      </c>
      <c r="B278" s="380" t="s">
        <v>619</v>
      </c>
      <c r="C278" s="378"/>
      <c r="D278" s="709">
        <f t="shared" si="269"/>
        <v>31250.82</v>
      </c>
      <c r="E278" s="187"/>
      <c r="F278" s="709">
        <f t="shared" si="270"/>
        <v>38535.26</v>
      </c>
      <c r="G278" s="187"/>
      <c r="H278" s="709">
        <f t="shared" si="271"/>
        <v>36779.949999999997</v>
      </c>
      <c r="I278" s="187"/>
      <c r="J278" s="711">
        <f>ROUND((D278*E278+F278*G278+H278*I278),2)</f>
        <v>0</v>
      </c>
      <c r="K278" s="709">
        <f t="shared" si="272"/>
        <v>35546.49</v>
      </c>
      <c r="L278" s="187"/>
      <c r="M278" s="709">
        <f t="shared" si="273"/>
        <v>43923.6</v>
      </c>
      <c r="N278" s="187"/>
      <c r="O278" s="709">
        <f t="shared" si="274"/>
        <v>41904.99</v>
      </c>
      <c r="P278" s="187"/>
      <c r="Q278" s="711">
        <f>ROUND((K278*L278+M278*N278+O278*P278),2)</f>
        <v>0</v>
      </c>
      <c r="R278" s="709">
        <f t="shared" si="275"/>
        <v>41274.050000000003</v>
      </c>
      <c r="S278" s="187"/>
      <c r="T278" s="709">
        <f t="shared" si="276"/>
        <v>51108.05</v>
      </c>
      <c r="U278" s="187"/>
      <c r="V278" s="709">
        <f t="shared" si="277"/>
        <v>48738.38</v>
      </c>
      <c r="W278" s="187"/>
      <c r="X278" s="711">
        <f>ROUND((R278*S278+T278*U278+V278*W278),2)</f>
        <v>0</v>
      </c>
      <c r="Y278" s="709">
        <f t="shared" si="278"/>
        <v>45569.73</v>
      </c>
      <c r="Z278" s="187"/>
      <c r="AA278" s="709">
        <f t="shared" si="279"/>
        <v>56496.39</v>
      </c>
      <c r="AB278" s="187"/>
      <c r="AC278" s="711">
        <f>ROUND((Y278*Z278+AA278*AB278),2)</f>
        <v>0</v>
      </c>
      <c r="AD278" s="709">
        <f t="shared" si="280"/>
        <v>54161.08</v>
      </c>
      <c r="AE278" s="187"/>
      <c r="AF278" s="709">
        <f t="shared" si="281"/>
        <v>67273.070000000007</v>
      </c>
      <c r="AG278" s="187"/>
      <c r="AH278" s="709">
        <f t="shared" si="282"/>
        <v>64113.51</v>
      </c>
      <c r="AI278" s="187"/>
      <c r="AJ278" s="711">
        <f>ROUND((AD278*AE278+AF278*AG278+AH278*AI278),2)</f>
        <v>0</v>
      </c>
      <c r="AK278" s="709">
        <f t="shared" si="283"/>
        <v>29360.82</v>
      </c>
      <c r="AL278" s="187"/>
      <c r="AM278" s="709">
        <f t="shared" si="284"/>
        <v>36645.26</v>
      </c>
      <c r="AN278" s="187"/>
      <c r="AO278" s="709">
        <f t="shared" si="285"/>
        <v>34889.949999999997</v>
      </c>
      <c r="AP278" s="187"/>
      <c r="AQ278" s="711">
        <f>ROUND((AK278*AL278+AM278*AN278+AO278*AP278),2)</f>
        <v>0</v>
      </c>
      <c r="AR278" s="709">
        <f t="shared" si="286"/>
        <v>35718.379999999997</v>
      </c>
      <c r="AS278" s="187"/>
      <c r="AT278" s="711">
        <f>ROUND((AR278*AS278),2)</f>
        <v>0</v>
      </c>
      <c r="AU278" s="712">
        <f>AT278+AQ278+AJ278+AC278+X278+Q278+J278</f>
        <v>0</v>
      </c>
      <c r="AV278" s="187"/>
      <c r="AW278" s="709">
        <f t="shared" si="287"/>
        <v>65258.22</v>
      </c>
      <c r="AX278" s="187"/>
      <c r="AY278" s="709">
        <f t="shared" si="288"/>
        <v>81192.94</v>
      </c>
      <c r="AZ278" s="187">
        <v>13</v>
      </c>
      <c r="BA278" s="709">
        <f t="shared" si="289"/>
        <v>77353.2</v>
      </c>
      <c r="BB278" s="187"/>
      <c r="BC278" s="711">
        <f>ROUND((AW278*AX278+AY278*AZ278+BA278*BB278),2)</f>
        <v>1055508.22</v>
      </c>
      <c r="BD278" s="709">
        <f t="shared" si="290"/>
        <v>77787.27</v>
      </c>
      <c r="BE278" s="187">
        <v>80</v>
      </c>
      <c r="BF278" s="709">
        <f t="shared" si="291"/>
        <v>96908.93</v>
      </c>
      <c r="BG278" s="187">
        <v>104</v>
      </c>
      <c r="BH278" s="711">
        <f>ROUND((BD278*BE278+BF278*BG278),2)</f>
        <v>16301510.32</v>
      </c>
      <c r="BI278" s="713">
        <f>BH278+BC278</f>
        <v>17357018.539999999</v>
      </c>
      <c r="BJ278" s="709">
        <f t="shared" si="292"/>
        <v>25708.01</v>
      </c>
      <c r="BK278" s="187"/>
      <c r="BL278" s="709">
        <f t="shared" si="293"/>
        <v>27763.9</v>
      </c>
      <c r="BM278" s="187"/>
      <c r="BN278" s="709">
        <f t="shared" si="294"/>
        <v>23851.91</v>
      </c>
      <c r="BO278" s="187"/>
      <c r="BP278" s="711">
        <f>ROUND((BJ278*BK278+BL278*BM278+BN278*BO278),2)</f>
        <v>0</v>
      </c>
      <c r="BQ278" s="709">
        <f t="shared" si="295"/>
        <v>42444.76</v>
      </c>
      <c r="BR278" s="187"/>
      <c r="BS278" s="709">
        <f t="shared" si="296"/>
        <v>46158.78</v>
      </c>
      <c r="BT278" s="187"/>
      <c r="BU278" s="709">
        <f t="shared" si="297"/>
        <v>39091.67</v>
      </c>
      <c r="BV278" s="187"/>
      <c r="BW278" s="1047">
        <f>ROUND((BQ278*BR278+BS278*BT278+BU278*BV278),2)</f>
        <v>0</v>
      </c>
      <c r="BX278" s="187">
        <f t="shared" si="267"/>
        <v>197</v>
      </c>
      <c r="BY278" s="117">
        <f>AU278+BI278+BP278+BW278</f>
        <v>17357018.539999999</v>
      </c>
      <c r="BZ278" s="117"/>
    </row>
    <row r="279" spans="1:79" s="116" customFormat="1" ht="16.5">
      <c r="A279" s="376">
        <v>66</v>
      </c>
      <c r="B279" s="380" t="s">
        <v>620</v>
      </c>
      <c r="C279" s="378"/>
      <c r="D279" s="709">
        <f t="shared" si="269"/>
        <v>31250.82</v>
      </c>
      <c r="E279" s="187"/>
      <c r="F279" s="709">
        <f t="shared" si="270"/>
        <v>38535.26</v>
      </c>
      <c r="G279" s="187"/>
      <c r="H279" s="709">
        <f t="shared" si="271"/>
        <v>36779.949999999997</v>
      </c>
      <c r="I279" s="187"/>
      <c r="J279" s="711">
        <f>ROUND((D279*E279+F279*G279+H279*I279),2)</f>
        <v>0</v>
      </c>
      <c r="K279" s="709">
        <f t="shared" si="272"/>
        <v>35546.49</v>
      </c>
      <c r="L279" s="187"/>
      <c r="M279" s="709">
        <f t="shared" si="273"/>
        <v>43923.6</v>
      </c>
      <c r="N279" s="187"/>
      <c r="O279" s="709">
        <f t="shared" si="274"/>
        <v>41904.99</v>
      </c>
      <c r="P279" s="187"/>
      <c r="Q279" s="711">
        <f>ROUND((K279*L279+M279*N279+O279*P279),2)</f>
        <v>0</v>
      </c>
      <c r="R279" s="709">
        <f t="shared" si="275"/>
        <v>41274.050000000003</v>
      </c>
      <c r="S279" s="187"/>
      <c r="T279" s="709">
        <f t="shared" si="276"/>
        <v>51108.05</v>
      </c>
      <c r="U279" s="187"/>
      <c r="V279" s="709">
        <f t="shared" si="277"/>
        <v>48738.38</v>
      </c>
      <c r="W279" s="187"/>
      <c r="X279" s="711">
        <f>ROUND((R279*S279+T279*U279+V279*W279),2)</f>
        <v>0</v>
      </c>
      <c r="Y279" s="709">
        <f t="shared" si="278"/>
        <v>45569.73</v>
      </c>
      <c r="Z279" s="187"/>
      <c r="AA279" s="709">
        <f t="shared" si="279"/>
        <v>56496.39</v>
      </c>
      <c r="AB279" s="187"/>
      <c r="AC279" s="711">
        <f>ROUND((Y279*Z279+AA279*AB279),2)</f>
        <v>0</v>
      </c>
      <c r="AD279" s="709">
        <f t="shared" si="280"/>
        <v>54161.08</v>
      </c>
      <c r="AE279" s="187"/>
      <c r="AF279" s="709">
        <f t="shared" si="281"/>
        <v>67273.070000000007</v>
      </c>
      <c r="AG279" s="187"/>
      <c r="AH279" s="709">
        <f t="shared" si="282"/>
        <v>64113.51</v>
      </c>
      <c r="AI279" s="187"/>
      <c r="AJ279" s="711">
        <f>ROUND((AD279*AE279+AF279*AG279+AH279*AI279),2)</f>
        <v>0</v>
      </c>
      <c r="AK279" s="709">
        <f t="shared" si="283"/>
        <v>29360.82</v>
      </c>
      <c r="AL279" s="187"/>
      <c r="AM279" s="709">
        <f t="shared" si="284"/>
        <v>36645.26</v>
      </c>
      <c r="AN279" s="187"/>
      <c r="AO279" s="709">
        <f t="shared" si="285"/>
        <v>34889.949999999997</v>
      </c>
      <c r="AP279" s="187"/>
      <c r="AQ279" s="711">
        <f>ROUND((AK279*AL279+AM279*AN279+AO279*AP279),2)</f>
        <v>0</v>
      </c>
      <c r="AR279" s="709">
        <f t="shared" si="286"/>
        <v>35718.379999999997</v>
      </c>
      <c r="AS279" s="187"/>
      <c r="AT279" s="711">
        <f>ROUND((AR279*AS279),2)</f>
        <v>0</v>
      </c>
      <c r="AU279" s="712">
        <f>AT279+AQ279+AJ279+AC279+X279+Q279+J279</f>
        <v>0</v>
      </c>
      <c r="AV279" s="187"/>
      <c r="AW279" s="709">
        <f t="shared" si="287"/>
        <v>65258.22</v>
      </c>
      <c r="AX279" s="187"/>
      <c r="AY279" s="709">
        <f t="shared" si="288"/>
        <v>81192.94</v>
      </c>
      <c r="AZ279" s="187">
        <v>121</v>
      </c>
      <c r="BA279" s="709">
        <f t="shared" si="289"/>
        <v>77353.2</v>
      </c>
      <c r="BB279" s="187">
        <v>15</v>
      </c>
      <c r="BC279" s="711">
        <f>ROUND((AW279*AX279+AY279*AZ279+BA279*BB279),2)</f>
        <v>10984643.74</v>
      </c>
      <c r="BD279" s="709">
        <f t="shared" si="290"/>
        <v>77787.27</v>
      </c>
      <c r="BE279" s="187">
        <v>104</v>
      </c>
      <c r="BF279" s="709">
        <f t="shared" si="291"/>
        <v>96908.93</v>
      </c>
      <c r="BG279" s="187">
        <v>91</v>
      </c>
      <c r="BH279" s="711">
        <f>ROUND((BD279*BE279+BF279*BG279),2)</f>
        <v>16908588.710000001</v>
      </c>
      <c r="BI279" s="713">
        <f>BH279+BC279</f>
        <v>27893232.450000003</v>
      </c>
      <c r="BJ279" s="709">
        <f t="shared" si="292"/>
        <v>25708.01</v>
      </c>
      <c r="BK279" s="187"/>
      <c r="BL279" s="709">
        <f t="shared" si="293"/>
        <v>27763.9</v>
      </c>
      <c r="BM279" s="187"/>
      <c r="BN279" s="709">
        <f t="shared" si="294"/>
        <v>23851.91</v>
      </c>
      <c r="BO279" s="187"/>
      <c r="BP279" s="711">
        <f>ROUND((BJ279*BK279+BL279*BM279+BN279*BO279),2)</f>
        <v>0</v>
      </c>
      <c r="BQ279" s="709">
        <f t="shared" si="295"/>
        <v>42444.76</v>
      </c>
      <c r="BR279" s="187"/>
      <c r="BS279" s="709">
        <f t="shared" si="296"/>
        <v>46158.78</v>
      </c>
      <c r="BT279" s="187"/>
      <c r="BU279" s="709">
        <f t="shared" si="297"/>
        <v>39091.67</v>
      </c>
      <c r="BV279" s="187"/>
      <c r="BW279" s="1047">
        <f>ROUND((BQ279*BR279+BS279*BT279+BU279*BV279),2)</f>
        <v>0</v>
      </c>
      <c r="BX279" s="187">
        <f>E279+G279+I279+L279+N279+P279+S279+U279+W279+Z279+AB279+AE279+AG279+AI279+AL279+AN279+AP279+AS279+AX279+AZ279+BB279+BE279+BG279+BK279+BM279+BO279+BR279+BT279+BV279</f>
        <v>331</v>
      </c>
      <c r="BY279" s="117">
        <f>AU279+BI279+BP279+BW279</f>
        <v>27893232.450000003</v>
      </c>
      <c r="BZ279" s="117"/>
    </row>
    <row r="280" spans="1:79" s="116" customFormat="1" ht="18.75">
      <c r="A280" s="376">
        <v>67</v>
      </c>
      <c r="B280" s="381" t="s">
        <v>621</v>
      </c>
      <c r="C280" s="378"/>
      <c r="D280" s="709">
        <f t="shared" si="269"/>
        <v>31250.82</v>
      </c>
      <c r="E280" s="187"/>
      <c r="F280" s="709">
        <f t="shared" si="270"/>
        <v>38535.26</v>
      </c>
      <c r="G280" s="187"/>
      <c r="H280" s="709">
        <f t="shared" si="271"/>
        <v>36779.949999999997</v>
      </c>
      <c r="I280" s="187"/>
      <c r="J280" s="711">
        <f>ROUND((D280*E280+F280*G280+H280*I280),2)</f>
        <v>0</v>
      </c>
      <c r="K280" s="709">
        <f t="shared" si="272"/>
        <v>35546.49</v>
      </c>
      <c r="L280" s="187"/>
      <c r="M280" s="709">
        <f t="shared" si="273"/>
        <v>43923.6</v>
      </c>
      <c r="N280" s="187"/>
      <c r="O280" s="709">
        <f t="shared" si="274"/>
        <v>41904.99</v>
      </c>
      <c r="P280" s="187"/>
      <c r="Q280" s="711">
        <f>ROUND((K280*L280+M280*N280+O280*P280),2)</f>
        <v>0</v>
      </c>
      <c r="R280" s="709">
        <f t="shared" si="275"/>
        <v>41274.050000000003</v>
      </c>
      <c r="S280" s="187"/>
      <c r="T280" s="709">
        <f t="shared" si="276"/>
        <v>51108.05</v>
      </c>
      <c r="U280" s="187"/>
      <c r="V280" s="709">
        <f t="shared" si="277"/>
        <v>48738.38</v>
      </c>
      <c r="W280" s="187"/>
      <c r="X280" s="711">
        <f>ROUND((R280*S280+T280*U280+V280*W280),2)</f>
        <v>0</v>
      </c>
      <c r="Y280" s="709">
        <f t="shared" si="278"/>
        <v>45569.73</v>
      </c>
      <c r="Z280" s="187"/>
      <c r="AA280" s="709">
        <f t="shared" si="279"/>
        <v>56496.39</v>
      </c>
      <c r="AB280" s="187"/>
      <c r="AC280" s="711">
        <f>ROUND((Y280*Z280+AA280*AB280),2)</f>
        <v>0</v>
      </c>
      <c r="AD280" s="709">
        <f t="shared" si="280"/>
        <v>54161.08</v>
      </c>
      <c r="AE280" s="187"/>
      <c r="AF280" s="709">
        <f t="shared" si="281"/>
        <v>67273.070000000007</v>
      </c>
      <c r="AG280" s="187"/>
      <c r="AH280" s="709">
        <f t="shared" si="282"/>
        <v>64113.51</v>
      </c>
      <c r="AI280" s="187"/>
      <c r="AJ280" s="711">
        <f>ROUND((AD280*AE280+AF280*AG280+AH280*AI280),2)</f>
        <v>0</v>
      </c>
      <c r="AK280" s="709">
        <f t="shared" si="283"/>
        <v>29360.82</v>
      </c>
      <c r="AL280" s="187"/>
      <c r="AM280" s="709">
        <f t="shared" si="284"/>
        <v>36645.26</v>
      </c>
      <c r="AN280" s="187"/>
      <c r="AO280" s="709">
        <f t="shared" si="285"/>
        <v>34889.949999999997</v>
      </c>
      <c r="AP280" s="187"/>
      <c r="AQ280" s="711">
        <f>ROUND((AK280*AL280+AM280*AN280+AO280*AP280),2)</f>
        <v>0</v>
      </c>
      <c r="AR280" s="709">
        <f t="shared" si="286"/>
        <v>35718.379999999997</v>
      </c>
      <c r="AS280" s="187"/>
      <c r="AT280" s="711">
        <f>ROUND((AR280*AS280),2)</f>
        <v>0</v>
      </c>
      <c r="AU280" s="712">
        <f>AT280+AQ280+AJ280+AC280+X280+Q280+J280</f>
        <v>0</v>
      </c>
      <c r="AV280" s="539"/>
      <c r="AW280" s="709">
        <f t="shared" si="287"/>
        <v>65258.22</v>
      </c>
      <c r="AX280" s="187"/>
      <c r="AY280" s="709">
        <f t="shared" si="288"/>
        <v>81192.94</v>
      </c>
      <c r="AZ280" s="187"/>
      <c r="BA280" s="709">
        <f t="shared" si="289"/>
        <v>77353.2</v>
      </c>
      <c r="BB280" s="187"/>
      <c r="BC280" s="711">
        <f>ROUND((AW280*AX280+AY280*AZ280+BA280*BB280),2)</f>
        <v>0</v>
      </c>
      <c r="BD280" s="709">
        <f t="shared" si="290"/>
        <v>77787.27</v>
      </c>
      <c r="BE280" s="187"/>
      <c r="BF280" s="709">
        <f t="shared" si="291"/>
        <v>96908.93</v>
      </c>
      <c r="BG280" s="187"/>
      <c r="BH280" s="711">
        <f>ROUND((BD280*BE280+BF280*BG280),2)</f>
        <v>0</v>
      </c>
      <c r="BI280" s="713">
        <f>BH280+BC280</f>
        <v>0</v>
      </c>
      <c r="BJ280" s="709">
        <f t="shared" si="292"/>
        <v>25708.01</v>
      </c>
      <c r="BK280" s="187"/>
      <c r="BL280" s="709">
        <f t="shared" si="293"/>
        <v>27763.9</v>
      </c>
      <c r="BM280" s="187"/>
      <c r="BN280" s="709">
        <f t="shared" si="294"/>
        <v>23851.91</v>
      </c>
      <c r="BO280" s="187"/>
      <c r="BP280" s="711">
        <f>ROUND((BJ280*BK280+BL280*BM280+BN280*BO280),2)</f>
        <v>0</v>
      </c>
      <c r="BQ280" s="709">
        <f t="shared" si="295"/>
        <v>42444.76</v>
      </c>
      <c r="BR280" s="187"/>
      <c r="BS280" s="709">
        <f t="shared" si="296"/>
        <v>46158.78</v>
      </c>
      <c r="BT280" s="187"/>
      <c r="BU280" s="709">
        <f t="shared" si="297"/>
        <v>39091.67</v>
      </c>
      <c r="BV280" s="187"/>
      <c r="BW280" s="1047">
        <f>ROUND((BQ280*BR280+BS280*BT280+BU280*BV280),2)</f>
        <v>0</v>
      </c>
      <c r="BX280" s="187"/>
      <c r="BY280" s="117">
        <v>14716371.59</v>
      </c>
      <c r="BZ280" s="117"/>
      <c r="CA280" s="1054">
        <v>244</v>
      </c>
    </row>
    <row r="281" spans="1:79" s="116" customFormat="1" ht="18.75">
      <c r="A281" s="376">
        <v>68</v>
      </c>
      <c r="B281" s="381" t="s">
        <v>622</v>
      </c>
      <c r="C281" s="378"/>
      <c r="D281" s="709">
        <f t="shared" si="269"/>
        <v>31250.82</v>
      </c>
      <c r="E281" s="187"/>
      <c r="F281" s="709">
        <f t="shared" si="270"/>
        <v>38535.26</v>
      </c>
      <c r="G281" s="187"/>
      <c r="H281" s="709">
        <f t="shared" si="271"/>
        <v>36779.949999999997</v>
      </c>
      <c r="I281" s="187"/>
      <c r="J281" s="711">
        <f>ROUND((D281*E281+F281*G281+H281*I281),2)</f>
        <v>0</v>
      </c>
      <c r="K281" s="709">
        <f t="shared" si="272"/>
        <v>35546.49</v>
      </c>
      <c r="L281" s="187"/>
      <c r="M281" s="709">
        <f t="shared" si="273"/>
        <v>43923.6</v>
      </c>
      <c r="N281" s="187"/>
      <c r="O281" s="709">
        <f t="shared" si="274"/>
        <v>41904.99</v>
      </c>
      <c r="P281" s="187"/>
      <c r="Q281" s="711">
        <f>ROUND((K281*L281+M281*N281+O281*P281),2)</f>
        <v>0</v>
      </c>
      <c r="R281" s="709">
        <f t="shared" si="275"/>
        <v>41274.050000000003</v>
      </c>
      <c r="S281" s="187"/>
      <c r="T281" s="709">
        <f t="shared" si="276"/>
        <v>51108.05</v>
      </c>
      <c r="U281" s="187"/>
      <c r="V281" s="709">
        <f t="shared" si="277"/>
        <v>48738.38</v>
      </c>
      <c r="W281" s="187"/>
      <c r="X281" s="711">
        <f>ROUND((R281*S281+T281*U281+V281*W281),2)</f>
        <v>0</v>
      </c>
      <c r="Y281" s="709">
        <f t="shared" si="278"/>
        <v>45569.73</v>
      </c>
      <c r="Z281" s="187"/>
      <c r="AA281" s="709">
        <f t="shared" si="279"/>
        <v>56496.39</v>
      </c>
      <c r="AB281" s="187"/>
      <c r="AC281" s="711">
        <f>ROUND((Y281*Z281+AA281*AB281),2)</f>
        <v>0</v>
      </c>
      <c r="AD281" s="709">
        <f t="shared" si="280"/>
        <v>54161.08</v>
      </c>
      <c r="AE281" s="187"/>
      <c r="AF281" s="709">
        <f t="shared" si="281"/>
        <v>67273.070000000007</v>
      </c>
      <c r="AG281" s="187"/>
      <c r="AH281" s="709">
        <f t="shared" si="282"/>
        <v>64113.51</v>
      </c>
      <c r="AI281" s="187"/>
      <c r="AJ281" s="711">
        <f>ROUND((AD281*AE281+AF281*AG281+AH281*AI281),2)</f>
        <v>0</v>
      </c>
      <c r="AK281" s="709">
        <f t="shared" si="283"/>
        <v>29360.82</v>
      </c>
      <c r="AL281" s="187"/>
      <c r="AM281" s="709">
        <f t="shared" si="284"/>
        <v>36645.26</v>
      </c>
      <c r="AN281" s="187"/>
      <c r="AO281" s="709">
        <f t="shared" si="285"/>
        <v>34889.949999999997</v>
      </c>
      <c r="AP281" s="187"/>
      <c r="AQ281" s="711">
        <f>ROUND((AK281*AL281+AM281*AN281+AO281*AP281),2)</f>
        <v>0</v>
      </c>
      <c r="AR281" s="709">
        <f t="shared" si="286"/>
        <v>35718.379999999997</v>
      </c>
      <c r="AS281" s="187"/>
      <c r="AT281" s="711">
        <f>ROUND((AR281*AS281),2)</f>
        <v>0</v>
      </c>
      <c r="AU281" s="712">
        <f>AT281+AQ281+AJ281+AC281+X281+Q281+J281</f>
        <v>0</v>
      </c>
      <c r="AV281" s="539"/>
      <c r="AW281" s="709">
        <f t="shared" si="287"/>
        <v>65258.22</v>
      </c>
      <c r="AX281" s="187"/>
      <c r="AY281" s="709">
        <f t="shared" si="288"/>
        <v>81192.94</v>
      </c>
      <c r="AZ281" s="187"/>
      <c r="BA281" s="709">
        <f t="shared" si="289"/>
        <v>77353.2</v>
      </c>
      <c r="BB281" s="187"/>
      <c r="BC281" s="711">
        <f>ROUND((AW281*AX281+AY281*AZ281+BA281*BB281),2)</f>
        <v>0</v>
      </c>
      <c r="BD281" s="709">
        <f t="shared" si="290"/>
        <v>77787.27</v>
      </c>
      <c r="BE281" s="187"/>
      <c r="BF281" s="709">
        <f t="shared" si="291"/>
        <v>96908.93</v>
      </c>
      <c r="BG281" s="187"/>
      <c r="BH281" s="711">
        <f>ROUND((BD281*BE281+BF281*BG281),2)</f>
        <v>0</v>
      </c>
      <c r="BI281" s="713">
        <f>BH281+BC281</f>
        <v>0</v>
      </c>
      <c r="BJ281" s="709">
        <f t="shared" si="292"/>
        <v>25708.01</v>
      </c>
      <c r="BK281" s="187"/>
      <c r="BL281" s="709">
        <f t="shared" si="293"/>
        <v>27763.9</v>
      </c>
      <c r="BM281" s="187"/>
      <c r="BN281" s="709">
        <f t="shared" si="294"/>
        <v>23851.91</v>
      </c>
      <c r="BO281" s="187"/>
      <c r="BP281" s="711">
        <f>ROUND((BJ281*BK281+BL281*BM281+BN281*BO281),2)</f>
        <v>0</v>
      </c>
      <c r="BQ281" s="709">
        <f t="shared" si="295"/>
        <v>42444.76</v>
      </c>
      <c r="BR281" s="187"/>
      <c r="BS281" s="709">
        <f t="shared" si="296"/>
        <v>46158.78</v>
      </c>
      <c r="BT281" s="187"/>
      <c r="BU281" s="709">
        <f t="shared" si="297"/>
        <v>39091.67</v>
      </c>
      <c r="BV281" s="187"/>
      <c r="BW281" s="1047">
        <f>ROUND((BQ281*BR281+BS281*BT281+BU281*BV281),2)</f>
        <v>0</v>
      </c>
      <c r="BX281" s="187"/>
      <c r="BY281" s="117">
        <v>14987147.199999999</v>
      </c>
      <c r="BZ281" s="117"/>
      <c r="CA281" s="1054">
        <v>197</v>
      </c>
    </row>
    <row r="282" spans="1:79" s="106" customFormat="1" ht="17.25" thickBot="1">
      <c r="A282" s="550"/>
      <c r="B282" s="1050" t="s">
        <v>623</v>
      </c>
      <c r="C282" s="1050"/>
      <c r="D282" s="394">
        <f t="shared" si="269"/>
        <v>31250.82</v>
      </c>
      <c r="E282" s="1051">
        <f>SUM(E213:E281)</f>
        <v>15065</v>
      </c>
      <c r="F282" s="394">
        <f t="shared" si="270"/>
        <v>38535.26</v>
      </c>
      <c r="G282" s="1051">
        <f>SUM(G213:G281)</f>
        <v>14084</v>
      </c>
      <c r="H282" s="394">
        <f t="shared" si="271"/>
        <v>36779.949999999997</v>
      </c>
      <c r="I282" s="1051">
        <f>SUM(I213:I281)</f>
        <v>2635</v>
      </c>
      <c r="J282" s="761">
        <f>SUM(J213:J281)</f>
        <v>1110439373.3899999</v>
      </c>
      <c r="K282" s="394">
        <f t="shared" si="272"/>
        <v>35546.49</v>
      </c>
      <c r="L282" s="1051">
        <f>SUM(L213:L281)</f>
        <v>3479</v>
      </c>
      <c r="M282" s="394">
        <f t="shared" si="273"/>
        <v>43923.6</v>
      </c>
      <c r="N282" s="1051">
        <f>SUM(N213:N281)</f>
        <v>5277</v>
      </c>
      <c r="O282" s="394">
        <f t="shared" si="274"/>
        <v>41904.99</v>
      </c>
      <c r="P282" s="1051">
        <f>SUM(P213:P281)</f>
        <v>1210</v>
      </c>
      <c r="Q282" s="761">
        <f>SUM(Q213:Q281)</f>
        <v>406156113.81</v>
      </c>
      <c r="R282" s="394">
        <f t="shared" si="275"/>
        <v>41274.050000000003</v>
      </c>
      <c r="S282" s="1051">
        <f>SUM(S213:S281)</f>
        <v>1164</v>
      </c>
      <c r="T282" s="394">
        <f t="shared" si="276"/>
        <v>51108.05</v>
      </c>
      <c r="U282" s="1051">
        <f>SUM(U213:U281)</f>
        <v>1343</v>
      </c>
      <c r="V282" s="394">
        <f t="shared" si="277"/>
        <v>48738.38</v>
      </c>
      <c r="W282" s="1051">
        <f>SUM(W213:W281)</f>
        <v>462</v>
      </c>
      <c r="X282" s="761">
        <f>SUM(X213:X281)</f>
        <v>139198236.91</v>
      </c>
      <c r="Y282" s="394">
        <f t="shared" si="278"/>
        <v>45569.73</v>
      </c>
      <c r="Z282" s="1051">
        <f>SUM(Z213:Z281)</f>
        <v>375</v>
      </c>
      <c r="AA282" s="394">
        <f t="shared" si="279"/>
        <v>56496.39</v>
      </c>
      <c r="AB282" s="1051">
        <f>SUM(AB213:AB281)</f>
        <v>304</v>
      </c>
      <c r="AC282" s="761">
        <f>SUM(AC213:AC281)</f>
        <v>34263551.309999995</v>
      </c>
      <c r="AD282" s="394">
        <f t="shared" si="280"/>
        <v>54161.08</v>
      </c>
      <c r="AE282" s="1051">
        <f>SUM(AE213:AE281)</f>
        <v>238</v>
      </c>
      <c r="AF282" s="394">
        <f t="shared" si="281"/>
        <v>67273.070000000007</v>
      </c>
      <c r="AG282" s="1051">
        <f>SUM(AG213:AG281)</f>
        <v>580</v>
      </c>
      <c r="AH282" s="394">
        <f t="shared" si="282"/>
        <v>64113.51</v>
      </c>
      <c r="AI282" s="1051">
        <f>SUM(AI213:AI281)</f>
        <v>63</v>
      </c>
      <c r="AJ282" s="761">
        <f>SUM(AJ213:AJ281)</f>
        <v>55947868.769999996</v>
      </c>
      <c r="AK282" s="394">
        <f t="shared" si="283"/>
        <v>29360.82</v>
      </c>
      <c r="AL282" s="1051">
        <f>SUM(AL213:AL281)</f>
        <v>37</v>
      </c>
      <c r="AM282" s="394">
        <f t="shared" si="284"/>
        <v>36645.26</v>
      </c>
      <c r="AN282" s="1051">
        <f>SUM(AN213:AN281)</f>
        <v>52</v>
      </c>
      <c r="AO282" s="394">
        <f t="shared" si="285"/>
        <v>34889.949999999997</v>
      </c>
      <c r="AP282" s="1051">
        <f>SUM(AP213:AP281)</f>
        <v>25</v>
      </c>
      <c r="AQ282" s="761">
        <f>SUM(AQ213:AQ281)</f>
        <v>3864152.61</v>
      </c>
      <c r="AR282" s="394">
        <f t="shared" si="286"/>
        <v>35718.379999999997</v>
      </c>
      <c r="AS282" s="1051">
        <f>SUM(AS213:AS281)</f>
        <v>24</v>
      </c>
      <c r="AT282" s="761">
        <f>SUM(AT213:AT281)</f>
        <v>857241.12</v>
      </c>
      <c r="AU282" s="761">
        <f>SUM(AU213:AU281)</f>
        <v>1750726537.9199998</v>
      </c>
      <c r="AV282" s="1051">
        <f>AU282-AU242+AV242</f>
        <v>1751567888.9799998</v>
      </c>
      <c r="AW282" s="394">
        <f t="shared" si="287"/>
        <v>65258.22</v>
      </c>
      <c r="AX282" s="1051">
        <f>SUM(AX213:AX281)</f>
        <v>0</v>
      </c>
      <c r="AY282" s="394">
        <f t="shared" si="288"/>
        <v>81192.94</v>
      </c>
      <c r="AZ282" s="1051">
        <f>SUM(AZ213:AZ281)</f>
        <v>134</v>
      </c>
      <c r="BA282" s="394">
        <f t="shared" si="289"/>
        <v>77353.2</v>
      </c>
      <c r="BB282" s="1051">
        <f>SUM(BB213:BB281)</f>
        <v>15</v>
      </c>
      <c r="BC282" s="761">
        <f>SUM(BC213:BC281)</f>
        <v>12040151.960000001</v>
      </c>
      <c r="BD282" s="394">
        <f t="shared" si="290"/>
        <v>77787.27</v>
      </c>
      <c r="BE282" s="1051">
        <f>SUM(BE213:BE281)</f>
        <v>184</v>
      </c>
      <c r="BF282" s="394">
        <f t="shared" si="291"/>
        <v>96908.93</v>
      </c>
      <c r="BG282" s="1051">
        <f>SUM(BG213:BG281)</f>
        <v>195</v>
      </c>
      <c r="BH282" s="761">
        <f>SUM(BH213:BH281)</f>
        <v>33210099.030000001</v>
      </c>
      <c r="BI282" s="761">
        <f>SUM(BI213:BI281)</f>
        <v>45250250.990000002</v>
      </c>
      <c r="BJ282" s="394">
        <f t="shared" si="292"/>
        <v>25708.01</v>
      </c>
      <c r="BK282" s="1051">
        <f>SUM(BK213:BK281)</f>
        <v>0</v>
      </c>
      <c r="BL282" s="394">
        <f t="shared" si="293"/>
        <v>27763.9</v>
      </c>
      <c r="BM282" s="1051">
        <f>SUM(BM213:BM281)</f>
        <v>111</v>
      </c>
      <c r="BN282" s="394">
        <f t="shared" si="294"/>
        <v>23851.91</v>
      </c>
      <c r="BO282" s="1051">
        <f>SUM(BO213:BO281)</f>
        <v>114</v>
      </c>
      <c r="BP282" s="761">
        <f>SUM(BP213:BP281)</f>
        <v>5800910.6399999997</v>
      </c>
      <c r="BQ282" s="394">
        <f t="shared" si="295"/>
        <v>42444.76</v>
      </c>
      <c r="BR282" s="1051">
        <f>SUM(BR213:BR281)</f>
        <v>1</v>
      </c>
      <c r="BS282" s="394">
        <f t="shared" si="296"/>
        <v>46158.78</v>
      </c>
      <c r="BT282" s="1051">
        <f>SUM(BT213:BT281)</f>
        <v>72</v>
      </c>
      <c r="BU282" s="394">
        <f t="shared" si="297"/>
        <v>39091.67</v>
      </c>
      <c r="BV282" s="1051">
        <f>SUM(BV213:BV281)</f>
        <v>47</v>
      </c>
      <c r="BW282" s="1052">
        <f>SUM(BW213:BW281)</f>
        <v>5203185.41</v>
      </c>
      <c r="BX282" s="761">
        <f>SUM(BX213:BX281)</f>
        <v>47290</v>
      </c>
      <c r="BY282" s="1052">
        <f>SUM(BY213:BY281)</f>
        <v>1837249438.8699994</v>
      </c>
      <c r="BZ282" s="107"/>
      <c r="CA282" s="549">
        <f>BX282+CA280+CA281</f>
        <v>47731</v>
      </c>
    </row>
    <row r="283" spans="1:79" ht="18.75">
      <c r="A283" s="1631" t="s">
        <v>624</v>
      </c>
      <c r="B283" s="1632"/>
      <c r="C283" s="1633"/>
      <c r="D283" s="141">
        <f t="shared" ref="D283:D303" si="298">D284</f>
        <v>31250.82</v>
      </c>
      <c r="F283" s="141">
        <f>F284</f>
        <v>38535.26</v>
      </c>
      <c r="H283" s="141">
        <f t="shared" ref="H283:H303" si="299">H284</f>
        <v>36779.949999999997</v>
      </c>
      <c r="K283" s="141">
        <f t="shared" ref="K283:K303" si="300">K284</f>
        <v>35546.49</v>
      </c>
      <c r="M283" s="141">
        <f t="shared" ref="M283:M303" si="301">M284</f>
        <v>43923.6</v>
      </c>
      <c r="O283" s="141">
        <f t="shared" ref="O283:O303" si="302">O284</f>
        <v>41904.99</v>
      </c>
      <c r="R283" s="141">
        <f t="shared" ref="R283:R302" si="303">R284</f>
        <v>41274.050000000003</v>
      </c>
      <c r="T283" s="141">
        <f t="shared" ref="T283:T303" si="304">T284</f>
        <v>51108.05</v>
      </c>
      <c r="V283" s="141">
        <f t="shared" ref="V283:V302" si="305">V284</f>
        <v>48738.38</v>
      </c>
      <c r="Y283" s="141">
        <f t="shared" ref="Y283:Y302" si="306">Y284</f>
        <v>45569.73</v>
      </c>
      <c r="AA283" s="141">
        <f t="shared" ref="AA283:AA302" si="307">AA284</f>
        <v>56496.39</v>
      </c>
      <c r="AD283" s="141">
        <f t="shared" ref="AD283:AD302" si="308">AD284</f>
        <v>54161.08</v>
      </c>
      <c r="AF283" s="141">
        <f t="shared" ref="AF283:AF302" si="309">AF284</f>
        <v>67273.070000000007</v>
      </c>
      <c r="AH283" s="141">
        <f t="shared" ref="AH283:AH302" si="310">AH284</f>
        <v>64113.51</v>
      </c>
      <c r="AK283" s="141">
        <f t="shared" ref="AK283:AK302" si="311">AK284</f>
        <v>29360.82</v>
      </c>
      <c r="AM283" s="141">
        <f t="shared" ref="AM283:AM302" si="312">AM284</f>
        <v>36645.26</v>
      </c>
      <c r="AO283" s="141">
        <f t="shared" ref="AO283:AO302" si="313">AO284</f>
        <v>34889.949999999997</v>
      </c>
      <c r="AR283" s="141">
        <f t="shared" ref="AR283:AR302" si="314">AR284</f>
        <v>35718.379999999997</v>
      </c>
      <c r="AV283" s="212">
        <f>ROUND(AV291/AU291,5)</f>
        <v>1.00827</v>
      </c>
      <c r="AW283" s="141">
        <f t="shared" ref="AW283:AW302" si="315">AW284</f>
        <v>65258.22</v>
      </c>
      <c r="AY283" s="141">
        <f t="shared" ref="AY283:AY302" si="316">AY284</f>
        <v>81192.94</v>
      </c>
      <c r="BA283" s="141">
        <f t="shared" ref="BA283:BA302" si="317">BA284</f>
        <v>77353.2</v>
      </c>
      <c r="BD283" s="141">
        <f t="shared" ref="BD283:BD302" si="318">BD284</f>
        <v>77787.27</v>
      </c>
      <c r="BF283" s="141">
        <f t="shared" ref="BF283:BF302" si="319">BF284</f>
        <v>96908.93</v>
      </c>
      <c r="BJ283" s="141">
        <f t="shared" ref="BJ283:BJ302" si="320">BJ284</f>
        <v>25708.01</v>
      </c>
      <c r="BL283" s="141">
        <f t="shared" ref="BL283:BL302" si="321">BL284</f>
        <v>27763.9</v>
      </c>
      <c r="BN283" s="141">
        <f t="shared" ref="BN283:BN302" si="322">BN284</f>
        <v>23851.91</v>
      </c>
      <c r="BQ283" s="141">
        <f t="shared" ref="BQ283:BQ302" si="323">BQ284</f>
        <v>42444.76</v>
      </c>
      <c r="BS283" s="141">
        <f t="shared" ref="BS283:BS302" si="324">BS284</f>
        <v>46158.78</v>
      </c>
      <c r="BU283" s="141">
        <f t="shared" ref="BU283:BU302" si="325">BU284</f>
        <v>39091.67</v>
      </c>
      <c r="BY283" s="178"/>
      <c r="BZ283" s="178"/>
    </row>
    <row r="284" spans="1:79" s="106" customFormat="1" ht="16.5">
      <c r="A284" s="95" t="s">
        <v>387</v>
      </c>
      <c r="B284" s="249" t="s">
        <v>625</v>
      </c>
      <c r="C284" s="336" t="s">
        <v>388</v>
      </c>
      <c r="D284" s="141">
        <f t="shared" si="298"/>
        <v>31250.82</v>
      </c>
      <c r="E284" s="255">
        <v>176</v>
      </c>
      <c r="F284" s="141">
        <f t="shared" ref="F284:F291" si="326">F285</f>
        <v>38535.26</v>
      </c>
      <c r="G284" s="255">
        <v>194</v>
      </c>
      <c r="H284" s="141">
        <f t="shared" si="299"/>
        <v>36779.949999999997</v>
      </c>
      <c r="I284" s="255">
        <v>48</v>
      </c>
      <c r="J284" s="142">
        <f>ROUND((D284*E284+F284*G284+H284*I284),2)</f>
        <v>14741422.359999999</v>
      </c>
      <c r="K284" s="141">
        <f t="shared" si="300"/>
        <v>35546.49</v>
      </c>
      <c r="L284" s="101"/>
      <c r="M284" s="141">
        <f t="shared" si="301"/>
        <v>43923.6</v>
      </c>
      <c r="N284" s="101"/>
      <c r="O284" s="141">
        <f t="shared" si="302"/>
        <v>41904.99</v>
      </c>
      <c r="P284" s="101"/>
      <c r="Q284" s="142">
        <f>ROUND((K284*L284+M284*N284+O284*P284),2)</f>
        <v>0</v>
      </c>
      <c r="R284" s="141">
        <f t="shared" si="303"/>
        <v>41274.050000000003</v>
      </c>
      <c r="S284" s="100"/>
      <c r="T284" s="141">
        <f t="shared" si="304"/>
        <v>51108.05</v>
      </c>
      <c r="U284" s="100"/>
      <c r="V284" s="141">
        <f t="shared" si="305"/>
        <v>48738.38</v>
      </c>
      <c r="W284" s="103"/>
      <c r="X284" s="142">
        <f>ROUND((R284*S284+T284*U284+V284*W284),2)</f>
        <v>0</v>
      </c>
      <c r="Y284" s="141">
        <f t="shared" si="306"/>
        <v>45569.73</v>
      </c>
      <c r="Z284" s="100"/>
      <c r="AA284" s="141">
        <f t="shared" si="307"/>
        <v>56496.39</v>
      </c>
      <c r="AB284" s="255">
        <v>10</v>
      </c>
      <c r="AC284" s="142">
        <f>ROUND((Y284*Z284+AA284*AB284),2)</f>
        <v>564963.9</v>
      </c>
      <c r="AD284" s="141">
        <f t="shared" si="308"/>
        <v>54161.08</v>
      </c>
      <c r="AE284" s="255">
        <v>6</v>
      </c>
      <c r="AF284" s="141">
        <f t="shared" si="309"/>
        <v>67273.070000000007</v>
      </c>
      <c r="AG284" s="255">
        <v>13</v>
      </c>
      <c r="AH284" s="141">
        <f t="shared" si="310"/>
        <v>64113.51</v>
      </c>
      <c r="AI284" s="255">
        <v>1</v>
      </c>
      <c r="AJ284" s="142">
        <f>ROUND((AD284*AE284+AF284*AG284+AH284*AI284),2)</f>
        <v>1263629.8999999999</v>
      </c>
      <c r="AK284" s="141">
        <f t="shared" si="311"/>
        <v>29360.82</v>
      </c>
      <c r="AL284" s="101"/>
      <c r="AM284" s="141">
        <f t="shared" si="312"/>
        <v>36645.26</v>
      </c>
      <c r="AN284" s="101"/>
      <c r="AO284" s="141">
        <f t="shared" si="313"/>
        <v>34889.949999999997</v>
      </c>
      <c r="AP284" s="101"/>
      <c r="AQ284" s="142">
        <f>ROUND((AK284*AL284+AM284*AN284+AO284*AP284),2)</f>
        <v>0</v>
      </c>
      <c r="AR284" s="141">
        <f t="shared" si="314"/>
        <v>35718.379999999997</v>
      </c>
      <c r="AS284" s="104"/>
      <c r="AT284" s="142">
        <f>ROUND((AR284*AS284),2)</f>
        <v>0</v>
      </c>
      <c r="AU284" s="143">
        <f>AT284+AQ284+AJ284+AC284+X284+Q284+J284</f>
        <v>16570016.16</v>
      </c>
      <c r="AV284" s="105"/>
      <c r="AW284" s="141">
        <f t="shared" si="315"/>
        <v>65258.22</v>
      </c>
      <c r="AX284" s="102"/>
      <c r="AY284" s="141">
        <f t="shared" si="316"/>
        <v>81192.94</v>
      </c>
      <c r="AZ284" s="102"/>
      <c r="BA284" s="141">
        <f t="shared" si="317"/>
        <v>77353.2</v>
      </c>
      <c r="BB284" s="102"/>
      <c r="BC284" s="142">
        <f>ROUND((AW284*AX284+AY284*AZ284+BA284*BB284),2)</f>
        <v>0</v>
      </c>
      <c r="BD284" s="141">
        <f t="shared" si="318"/>
        <v>77787.27</v>
      </c>
      <c r="BE284" s="100"/>
      <c r="BF284" s="141">
        <f t="shared" si="319"/>
        <v>96908.93</v>
      </c>
      <c r="BG284" s="100"/>
      <c r="BH284" s="142">
        <f>ROUND((BD284*BE284+BF284*BG284),2)</f>
        <v>0</v>
      </c>
      <c r="BI284" s="144">
        <f>BH284+BC284</f>
        <v>0</v>
      </c>
      <c r="BJ284" s="141">
        <f t="shared" si="320"/>
        <v>25708.01</v>
      </c>
      <c r="BK284" s="100"/>
      <c r="BL284" s="141">
        <f t="shared" si="321"/>
        <v>27763.9</v>
      </c>
      <c r="BM284" s="100"/>
      <c r="BN284" s="141">
        <f t="shared" si="322"/>
        <v>23851.91</v>
      </c>
      <c r="BO284" s="100"/>
      <c r="BP284" s="142">
        <f>ROUND((BJ284*BK284+BL284*BM284+BN284*BO284),2)</f>
        <v>0</v>
      </c>
      <c r="BQ284" s="141">
        <f t="shared" si="323"/>
        <v>42444.76</v>
      </c>
      <c r="BR284" s="103"/>
      <c r="BS284" s="141">
        <f t="shared" si="324"/>
        <v>46158.78</v>
      </c>
      <c r="BT284" s="103"/>
      <c r="BU284" s="141">
        <f t="shared" si="325"/>
        <v>39091.67</v>
      </c>
      <c r="BV284" s="103"/>
      <c r="BW284" s="142">
        <f>ROUND((BQ284*BR284+BS284*BT284+BU284*BV284),2)</f>
        <v>0</v>
      </c>
      <c r="BX284" s="379">
        <f t="shared" ref="BX284:BX290" si="327">E284+G284+I284+L284+N284+P284+S284+U284+W284+Z284+AB284+AE284+AG284+AI284+AL284+AN284+AP284+AS284+AX284+AZ284+BB284+BE284+BG284+BK284+BM284+BO284+BR284+BT284+BV284</f>
        <v>448</v>
      </c>
      <c r="BY284" s="107"/>
      <c r="BZ284" s="107"/>
    </row>
    <row r="285" spans="1:79" s="106" customFormat="1" ht="16.5">
      <c r="A285" s="108"/>
      <c r="B285" s="253" t="s">
        <v>626</v>
      </c>
      <c r="C285" s="254" t="s">
        <v>388</v>
      </c>
      <c r="D285" s="141">
        <f t="shared" si="298"/>
        <v>31250.82</v>
      </c>
      <c r="E285" s="255">
        <v>31</v>
      </c>
      <c r="F285" s="141">
        <f t="shared" si="326"/>
        <v>38535.26</v>
      </c>
      <c r="G285" s="255"/>
      <c r="H285" s="141">
        <f t="shared" si="299"/>
        <v>36779.949999999997</v>
      </c>
      <c r="I285" s="255"/>
      <c r="J285" s="142">
        <f>ROUND((D285*E285+F285*G285+H285*I285),2)</f>
        <v>968775.42</v>
      </c>
      <c r="K285" s="141">
        <f t="shared" si="300"/>
        <v>35546.49</v>
      </c>
      <c r="L285" s="101"/>
      <c r="M285" s="141">
        <f t="shared" si="301"/>
        <v>43923.6</v>
      </c>
      <c r="N285" s="101"/>
      <c r="O285" s="141">
        <f t="shared" si="302"/>
        <v>41904.99</v>
      </c>
      <c r="P285" s="101"/>
      <c r="Q285" s="142">
        <f>ROUND((K285*L285+M285*N285+O285*P285),2)</f>
        <v>0</v>
      </c>
      <c r="R285" s="141">
        <f t="shared" si="303"/>
        <v>41274.050000000003</v>
      </c>
      <c r="S285" s="100"/>
      <c r="T285" s="141">
        <f t="shared" si="304"/>
        <v>51108.05</v>
      </c>
      <c r="U285" s="100"/>
      <c r="V285" s="141">
        <f t="shared" si="305"/>
        <v>48738.38</v>
      </c>
      <c r="W285" s="103"/>
      <c r="X285" s="142">
        <f>ROUND((R285*S285+T285*U285+V285*W285),2)</f>
        <v>0</v>
      </c>
      <c r="Y285" s="141">
        <f t="shared" si="306"/>
        <v>45569.73</v>
      </c>
      <c r="Z285" s="100"/>
      <c r="AA285" s="141">
        <f t="shared" si="307"/>
        <v>56496.39</v>
      </c>
      <c r="AB285" s="255"/>
      <c r="AC285" s="142">
        <f>ROUND((Y285*Z285+AA285*AB285),2)</f>
        <v>0</v>
      </c>
      <c r="AD285" s="141">
        <f t="shared" si="308"/>
        <v>54161.08</v>
      </c>
      <c r="AE285" s="255"/>
      <c r="AF285" s="141">
        <f t="shared" si="309"/>
        <v>67273.070000000007</v>
      </c>
      <c r="AG285" s="255"/>
      <c r="AH285" s="141">
        <f t="shared" si="310"/>
        <v>64113.51</v>
      </c>
      <c r="AI285" s="255"/>
      <c r="AJ285" s="142">
        <f>ROUND((AD285*AE285+AF285*AG285+AH285*AI285),2)</f>
        <v>0</v>
      </c>
      <c r="AK285" s="141">
        <f t="shared" si="311"/>
        <v>29360.82</v>
      </c>
      <c r="AL285" s="101"/>
      <c r="AM285" s="141">
        <f t="shared" si="312"/>
        <v>36645.26</v>
      </c>
      <c r="AN285" s="101"/>
      <c r="AO285" s="141">
        <f t="shared" si="313"/>
        <v>34889.949999999997</v>
      </c>
      <c r="AP285" s="101"/>
      <c r="AQ285" s="142">
        <f>ROUND((AK285*AL285+AM285*AN285+AO285*AP285),2)</f>
        <v>0</v>
      </c>
      <c r="AR285" s="141">
        <f t="shared" si="314"/>
        <v>35718.379999999997</v>
      </c>
      <c r="AS285" s="104"/>
      <c r="AT285" s="142">
        <f>ROUND((AR285*AS285),2)</f>
        <v>0</v>
      </c>
      <c r="AU285" s="143">
        <f>AT285+AQ285+AJ285+AC285+X285+Q285+J285</f>
        <v>968775.42</v>
      </c>
      <c r="AV285" s="105"/>
      <c r="AW285" s="141">
        <f t="shared" si="315"/>
        <v>65258.22</v>
      </c>
      <c r="AX285" s="102"/>
      <c r="AY285" s="141">
        <f t="shared" si="316"/>
        <v>81192.94</v>
      </c>
      <c r="AZ285" s="102"/>
      <c r="BA285" s="141">
        <f t="shared" si="317"/>
        <v>77353.2</v>
      </c>
      <c r="BB285" s="102"/>
      <c r="BC285" s="142">
        <f>ROUND((AW285*AX285+AY285*AZ285+BA285*BB285),2)</f>
        <v>0</v>
      </c>
      <c r="BD285" s="141">
        <f t="shared" si="318"/>
        <v>77787.27</v>
      </c>
      <c r="BE285" s="100"/>
      <c r="BF285" s="141">
        <f t="shared" si="319"/>
        <v>96908.93</v>
      </c>
      <c r="BG285" s="100"/>
      <c r="BH285" s="142">
        <f>ROUND((BD285*BE285+BF285*BG285),2)</f>
        <v>0</v>
      </c>
      <c r="BI285" s="144">
        <f>BH285+BC285</f>
        <v>0</v>
      </c>
      <c r="BJ285" s="141">
        <f t="shared" si="320"/>
        <v>25708.01</v>
      </c>
      <c r="BK285" s="100"/>
      <c r="BL285" s="141">
        <f t="shared" si="321"/>
        <v>27763.9</v>
      </c>
      <c r="BM285" s="100"/>
      <c r="BN285" s="141">
        <f t="shared" si="322"/>
        <v>23851.91</v>
      </c>
      <c r="BO285" s="100"/>
      <c r="BP285" s="142">
        <f>ROUND((BJ285*BK285+BL285*BM285+BN285*BO285),2)</f>
        <v>0</v>
      </c>
      <c r="BQ285" s="141">
        <f t="shared" si="323"/>
        <v>42444.76</v>
      </c>
      <c r="BR285" s="103"/>
      <c r="BS285" s="141">
        <f t="shared" si="324"/>
        <v>46158.78</v>
      </c>
      <c r="BT285" s="103"/>
      <c r="BU285" s="141">
        <f t="shared" si="325"/>
        <v>39091.67</v>
      </c>
      <c r="BV285" s="103"/>
      <c r="BW285" s="142">
        <f>ROUND((BQ285*BR285+BS285*BT285+BU285*BV285),2)</f>
        <v>0</v>
      </c>
      <c r="BX285" s="379">
        <f t="shared" si="327"/>
        <v>31</v>
      </c>
      <c r="BY285" s="107"/>
      <c r="BZ285" s="107"/>
    </row>
    <row r="286" spans="1:79" s="159" customFormat="1" ht="16.5">
      <c r="A286" s="173"/>
      <c r="B286" s="256" t="s">
        <v>627</v>
      </c>
      <c r="C286" s="257"/>
      <c r="D286" s="141">
        <f t="shared" si="298"/>
        <v>31250.82</v>
      </c>
      <c r="E286" s="258">
        <f>SUM(E284:E285)</f>
        <v>207</v>
      </c>
      <c r="F286" s="141">
        <f t="shared" si="326"/>
        <v>38535.26</v>
      </c>
      <c r="G286" s="258">
        <f>SUM(G284:G285)</f>
        <v>194</v>
      </c>
      <c r="H286" s="141">
        <f t="shared" si="299"/>
        <v>36779.949999999997</v>
      </c>
      <c r="I286" s="258">
        <f>SUM(I284:I285)</f>
        <v>48</v>
      </c>
      <c r="J286" s="258">
        <f>SUM(J284:J285)</f>
        <v>15710197.779999999</v>
      </c>
      <c r="K286" s="141">
        <f t="shared" si="300"/>
        <v>35546.49</v>
      </c>
      <c r="L286" s="258">
        <f>SUM(L284:L285)</f>
        <v>0</v>
      </c>
      <c r="M286" s="141">
        <f t="shared" si="301"/>
        <v>43923.6</v>
      </c>
      <c r="N286" s="258">
        <f>SUM(N284:N285)</f>
        <v>0</v>
      </c>
      <c r="O286" s="141">
        <f t="shared" si="302"/>
        <v>41904.99</v>
      </c>
      <c r="P286" s="258">
        <f>SUM(P284:P285)</f>
        <v>0</v>
      </c>
      <c r="Q286" s="258">
        <f>SUM(Q284:Q285)</f>
        <v>0</v>
      </c>
      <c r="R286" s="141">
        <f t="shared" si="303"/>
        <v>41274.050000000003</v>
      </c>
      <c r="S286" s="258">
        <f>SUM(S284:S285)</f>
        <v>0</v>
      </c>
      <c r="T286" s="141">
        <f t="shared" si="304"/>
        <v>51108.05</v>
      </c>
      <c r="U286" s="258">
        <f>SUM(U284:U285)</f>
        <v>0</v>
      </c>
      <c r="V286" s="141">
        <f t="shared" si="305"/>
        <v>48738.38</v>
      </c>
      <c r="W286" s="258">
        <f>SUM(W284:W285)</f>
        <v>0</v>
      </c>
      <c r="X286" s="258">
        <f>SUM(X284:X285)</f>
        <v>0</v>
      </c>
      <c r="Y286" s="141">
        <f t="shared" si="306"/>
        <v>45569.73</v>
      </c>
      <c r="Z286" s="258">
        <f>SUM(Z284:Z285)</f>
        <v>0</v>
      </c>
      <c r="AA286" s="141">
        <f t="shared" si="307"/>
        <v>56496.39</v>
      </c>
      <c r="AB286" s="258">
        <f>SUM(AB284:AB285)</f>
        <v>10</v>
      </c>
      <c r="AC286" s="258">
        <f>SUM(AC284:AC285)</f>
        <v>564963.9</v>
      </c>
      <c r="AD286" s="141">
        <f t="shared" si="308"/>
        <v>54161.08</v>
      </c>
      <c r="AE286" s="258">
        <f>SUM(AE284:AE285)</f>
        <v>6</v>
      </c>
      <c r="AF286" s="141">
        <f t="shared" si="309"/>
        <v>67273.070000000007</v>
      </c>
      <c r="AG286" s="258">
        <f>AG284</f>
        <v>13</v>
      </c>
      <c r="AH286" s="141">
        <f t="shared" si="310"/>
        <v>64113.51</v>
      </c>
      <c r="AI286" s="258">
        <f>SUM(AI284:AI285)</f>
        <v>1</v>
      </c>
      <c r="AJ286" s="258">
        <f>SUM(AJ284:AJ285)</f>
        <v>1263629.8999999999</v>
      </c>
      <c r="AK286" s="141">
        <f t="shared" si="311"/>
        <v>29360.82</v>
      </c>
      <c r="AL286" s="258">
        <f>SUM(AL284:AL285)</f>
        <v>0</v>
      </c>
      <c r="AM286" s="141">
        <f t="shared" si="312"/>
        <v>36645.26</v>
      </c>
      <c r="AN286" s="258">
        <f>SUM(AN284:AN285)</f>
        <v>0</v>
      </c>
      <c r="AO286" s="141">
        <f t="shared" si="313"/>
        <v>34889.949999999997</v>
      </c>
      <c r="AP286" s="258">
        <f>SUM(AP284:AP285)</f>
        <v>0</v>
      </c>
      <c r="AQ286" s="258">
        <f>SUM(AQ284:AQ285)</f>
        <v>0</v>
      </c>
      <c r="AR286" s="141">
        <f t="shared" si="314"/>
        <v>35718.379999999997</v>
      </c>
      <c r="AS286" s="258">
        <f>SUM(AS284:AS285)</f>
        <v>0</v>
      </c>
      <c r="AT286" s="258">
        <f>SUM(AT284:AT285)</f>
        <v>0</v>
      </c>
      <c r="AU286" s="1066">
        <f>SUM(AU284:AU285)</f>
        <v>17538791.580000002</v>
      </c>
      <c r="AV286" s="375">
        <f>'старое не смотреть'!D367</f>
        <v>18388300</v>
      </c>
      <c r="AW286" s="141">
        <f t="shared" si="315"/>
        <v>65258.22</v>
      </c>
      <c r="AX286" s="258">
        <f>SUM(AX284:AX285)</f>
        <v>0</v>
      </c>
      <c r="AY286" s="141">
        <f t="shared" si="316"/>
        <v>81192.94</v>
      </c>
      <c r="AZ286" s="258">
        <f>SUM(AZ284:AZ285)</f>
        <v>0</v>
      </c>
      <c r="BA286" s="141">
        <f t="shared" si="317"/>
        <v>77353.2</v>
      </c>
      <c r="BB286" s="258">
        <f>SUM(BB284:BB285)</f>
        <v>0</v>
      </c>
      <c r="BC286" s="258">
        <f>SUM(BC284:BC285)</f>
        <v>0</v>
      </c>
      <c r="BD286" s="141">
        <f t="shared" si="318"/>
        <v>77787.27</v>
      </c>
      <c r="BE286" s="258">
        <f>SUM(BE284:BE285)</f>
        <v>0</v>
      </c>
      <c r="BF286" s="141">
        <f t="shared" si="319"/>
        <v>96908.93</v>
      </c>
      <c r="BG286" s="258">
        <f>SUM(BG284:BG285)</f>
        <v>0</v>
      </c>
      <c r="BH286" s="258">
        <f>SUM(BH284:BH285)</f>
        <v>0</v>
      </c>
      <c r="BI286" s="258">
        <f>SUM(BI284:BI285)</f>
        <v>0</v>
      </c>
      <c r="BJ286" s="141">
        <f t="shared" si="320"/>
        <v>25708.01</v>
      </c>
      <c r="BK286" s="258">
        <f>SUM(BK284:BK285)</f>
        <v>0</v>
      </c>
      <c r="BL286" s="141">
        <f t="shared" si="321"/>
        <v>27763.9</v>
      </c>
      <c r="BM286" s="258">
        <f>SUM(BM284:BM285)</f>
        <v>0</v>
      </c>
      <c r="BN286" s="141">
        <f t="shared" si="322"/>
        <v>23851.91</v>
      </c>
      <c r="BO286" s="258">
        <f>SUM(BO284:BO285)</f>
        <v>0</v>
      </c>
      <c r="BP286" s="258">
        <f>SUM(BP284:BP285)</f>
        <v>0</v>
      </c>
      <c r="BQ286" s="141">
        <f t="shared" si="323"/>
        <v>42444.76</v>
      </c>
      <c r="BR286" s="258">
        <f t="shared" ref="BR286:BX286" si="328">SUM(BR284:BR285)</f>
        <v>0</v>
      </c>
      <c r="BS286" s="141">
        <f t="shared" si="324"/>
        <v>46158.78</v>
      </c>
      <c r="BT286" s="258">
        <f t="shared" si="328"/>
        <v>0</v>
      </c>
      <c r="BU286" s="141">
        <f t="shared" si="325"/>
        <v>39091.67</v>
      </c>
      <c r="BV286" s="258">
        <f t="shared" si="328"/>
        <v>0</v>
      </c>
      <c r="BW286" s="258">
        <f t="shared" si="328"/>
        <v>0</v>
      </c>
      <c r="BX286" s="383">
        <f t="shared" si="328"/>
        <v>479</v>
      </c>
      <c r="BY286" s="158"/>
      <c r="BZ286" s="158"/>
    </row>
    <row r="287" spans="1:79" s="159" customFormat="1" ht="16.5">
      <c r="A287" s="173" t="s">
        <v>389</v>
      </c>
      <c r="B287" s="259" t="s">
        <v>628</v>
      </c>
      <c r="C287" s="257" t="s">
        <v>388</v>
      </c>
      <c r="D287" s="141">
        <f t="shared" si="298"/>
        <v>31250.82</v>
      </c>
      <c r="E287" s="258">
        <v>99</v>
      </c>
      <c r="F287" s="141">
        <f t="shared" si="326"/>
        <v>38535.26</v>
      </c>
      <c r="G287" s="258">
        <v>133</v>
      </c>
      <c r="H287" s="141">
        <f t="shared" si="299"/>
        <v>36779.949999999997</v>
      </c>
      <c r="I287" s="258"/>
      <c r="J287" s="142">
        <f>ROUND((D287*E287+F287*G287+H287*I287),2)</f>
        <v>8219020.7599999998</v>
      </c>
      <c r="K287" s="141">
        <f t="shared" si="300"/>
        <v>35546.49</v>
      </c>
      <c r="L287" s="201"/>
      <c r="M287" s="141">
        <f t="shared" si="301"/>
        <v>43923.6</v>
      </c>
      <c r="N287" s="201"/>
      <c r="O287" s="141">
        <f t="shared" si="302"/>
        <v>41904.99</v>
      </c>
      <c r="P287" s="201"/>
      <c r="Q287" s="142">
        <f>ROUND((K287*L287+M287*N287+O287*P287),2)</f>
        <v>0</v>
      </c>
      <c r="R287" s="141">
        <f t="shared" si="303"/>
        <v>41274.050000000003</v>
      </c>
      <c r="S287" s="201"/>
      <c r="T287" s="141">
        <f t="shared" si="304"/>
        <v>51108.05</v>
      </c>
      <c r="U287" s="201"/>
      <c r="V287" s="141">
        <f t="shared" si="305"/>
        <v>48738.38</v>
      </c>
      <c r="W287" s="201"/>
      <c r="X287" s="142">
        <f>ROUND((R287*S287+T287*U287+V287*W287),2)</f>
        <v>0</v>
      </c>
      <c r="Y287" s="141">
        <f t="shared" si="306"/>
        <v>45569.73</v>
      </c>
      <c r="Z287" s="201"/>
      <c r="AA287" s="141">
        <f t="shared" si="307"/>
        <v>56496.39</v>
      </c>
      <c r="AB287" s="258"/>
      <c r="AC287" s="142">
        <f>ROUND((Y287*Z287+AA287*AB287),2)</f>
        <v>0</v>
      </c>
      <c r="AD287" s="141">
        <f t="shared" si="308"/>
        <v>54161.08</v>
      </c>
      <c r="AE287" s="258">
        <v>8</v>
      </c>
      <c r="AF287" s="141">
        <f t="shared" si="309"/>
        <v>67273.070000000007</v>
      </c>
      <c r="AG287" s="258">
        <v>9</v>
      </c>
      <c r="AH287" s="141">
        <f t="shared" si="310"/>
        <v>64113.51</v>
      </c>
      <c r="AI287" s="258"/>
      <c r="AJ287" s="142">
        <f>ROUND((AD287*AE287+AF287*AG287+AH287*AI287),2)</f>
        <v>1038746.27</v>
      </c>
      <c r="AK287" s="141">
        <f t="shared" si="311"/>
        <v>29360.82</v>
      </c>
      <c r="AL287" s="200"/>
      <c r="AM287" s="141">
        <f t="shared" si="312"/>
        <v>36645.26</v>
      </c>
      <c r="AN287" s="200"/>
      <c r="AO287" s="141">
        <f t="shared" si="313"/>
        <v>34889.949999999997</v>
      </c>
      <c r="AP287" s="200"/>
      <c r="AQ287" s="142">
        <f>ROUND((AK287*AL287+AM287*AN287+AO287*AP287),2)</f>
        <v>0</v>
      </c>
      <c r="AR287" s="141">
        <f t="shared" si="314"/>
        <v>35718.379999999997</v>
      </c>
      <c r="AS287" s="208"/>
      <c r="AT287" s="142">
        <f>ROUND((AR287*AS287),2)</f>
        <v>0</v>
      </c>
      <c r="AU287" s="143">
        <f>AT287+AQ287+AJ287+AC287+X287+Q287+J287</f>
        <v>9257767.0299999993</v>
      </c>
      <c r="AV287" s="375">
        <f>AU287</f>
        <v>9257767.0299999993</v>
      </c>
      <c r="AW287" s="141">
        <f t="shared" si="315"/>
        <v>65258.22</v>
      </c>
      <c r="AX287" s="200"/>
      <c r="AY287" s="141">
        <f t="shared" si="316"/>
        <v>81192.94</v>
      </c>
      <c r="AZ287" s="200"/>
      <c r="BA287" s="141">
        <f t="shared" si="317"/>
        <v>77353.2</v>
      </c>
      <c r="BB287" s="200"/>
      <c r="BC287" s="142">
        <f>ROUND((AW287*AX287+AY287*AZ287+BA287*BB287),2)</f>
        <v>0</v>
      </c>
      <c r="BD287" s="141">
        <f t="shared" si="318"/>
        <v>77787.27</v>
      </c>
      <c r="BE287" s="201"/>
      <c r="BF287" s="141">
        <f t="shared" si="319"/>
        <v>96908.93</v>
      </c>
      <c r="BG287" s="201"/>
      <c r="BH287" s="142">
        <f>ROUND((BD287*BE287+BF287*BG287),2)</f>
        <v>0</v>
      </c>
      <c r="BI287" s="144">
        <f>BH287+BC287</f>
        <v>0</v>
      </c>
      <c r="BJ287" s="141">
        <f t="shared" si="320"/>
        <v>25708.01</v>
      </c>
      <c r="BK287" s="201"/>
      <c r="BL287" s="141">
        <f t="shared" si="321"/>
        <v>27763.9</v>
      </c>
      <c r="BM287" s="201"/>
      <c r="BN287" s="141">
        <f t="shared" si="322"/>
        <v>23851.91</v>
      </c>
      <c r="BO287" s="201"/>
      <c r="BP287" s="142">
        <f>ROUND((BJ287*BK287+BL287*BM287+BN287*BO287),2)</f>
        <v>0</v>
      </c>
      <c r="BQ287" s="141">
        <f t="shared" si="323"/>
        <v>42444.76</v>
      </c>
      <c r="BR287" s="201"/>
      <c r="BS287" s="141">
        <f t="shared" si="324"/>
        <v>46158.78</v>
      </c>
      <c r="BT287" s="201"/>
      <c r="BU287" s="141">
        <f t="shared" si="325"/>
        <v>39091.67</v>
      </c>
      <c r="BV287" s="201"/>
      <c r="BW287" s="142">
        <f>ROUND((BQ287*BR287+BS287*BT287+BU287*BV287),2)</f>
        <v>0</v>
      </c>
      <c r="BX287" s="379">
        <f t="shared" si="327"/>
        <v>249</v>
      </c>
      <c r="BY287" s="158"/>
      <c r="BZ287" s="158"/>
    </row>
    <row r="288" spans="1:79" s="159" customFormat="1" ht="16.5">
      <c r="A288" s="173" t="s">
        <v>393</v>
      </c>
      <c r="B288" s="256" t="s">
        <v>629</v>
      </c>
      <c r="C288" s="259" t="s">
        <v>388</v>
      </c>
      <c r="D288" s="141">
        <f t="shared" si="298"/>
        <v>31250.82</v>
      </c>
      <c r="E288" s="258">
        <v>278</v>
      </c>
      <c r="F288" s="141">
        <f t="shared" si="326"/>
        <v>38535.26</v>
      </c>
      <c r="G288" s="258">
        <v>326</v>
      </c>
      <c r="H288" s="141">
        <f t="shared" si="299"/>
        <v>36779.949999999997</v>
      </c>
      <c r="I288" s="258">
        <v>66</v>
      </c>
      <c r="J288" s="142">
        <f>ROUND((D288*E288+F288*G288+H288*I288),2)</f>
        <v>23677699.420000002</v>
      </c>
      <c r="K288" s="141">
        <f t="shared" si="300"/>
        <v>35546.49</v>
      </c>
      <c r="L288" s="208"/>
      <c r="M288" s="141">
        <f t="shared" si="301"/>
        <v>43923.6</v>
      </c>
      <c r="N288" s="208"/>
      <c r="O288" s="141">
        <f t="shared" si="302"/>
        <v>41904.99</v>
      </c>
      <c r="P288" s="202"/>
      <c r="Q288" s="142">
        <f>ROUND((K288*L288+M288*N288+O288*P288),2)</f>
        <v>0</v>
      </c>
      <c r="R288" s="141">
        <f t="shared" si="303"/>
        <v>41274.050000000003</v>
      </c>
      <c r="S288" s="202"/>
      <c r="T288" s="141">
        <f t="shared" si="304"/>
        <v>51108.05</v>
      </c>
      <c r="U288" s="202"/>
      <c r="V288" s="141">
        <f t="shared" si="305"/>
        <v>48738.38</v>
      </c>
      <c r="W288" s="202"/>
      <c r="X288" s="142">
        <f>ROUND((R288*S288+T288*U288+V288*W288),2)</f>
        <v>0</v>
      </c>
      <c r="Y288" s="141">
        <f t="shared" si="306"/>
        <v>45569.73</v>
      </c>
      <c r="Z288" s="202"/>
      <c r="AA288" s="141">
        <f t="shared" si="307"/>
        <v>56496.39</v>
      </c>
      <c r="AB288" s="258"/>
      <c r="AC288" s="142">
        <f>ROUND((Y288*Z288+AA288*AB288),2)</f>
        <v>0</v>
      </c>
      <c r="AD288" s="141">
        <f t="shared" si="308"/>
        <v>54161.08</v>
      </c>
      <c r="AE288" s="258">
        <v>12</v>
      </c>
      <c r="AF288" s="141">
        <f t="shared" si="309"/>
        <v>67273.070000000007</v>
      </c>
      <c r="AG288" s="258">
        <v>9</v>
      </c>
      <c r="AH288" s="141">
        <f t="shared" si="310"/>
        <v>64113.51</v>
      </c>
      <c r="AI288" s="258">
        <v>1</v>
      </c>
      <c r="AJ288" s="142">
        <f>ROUND((AD288*AE288+AF288*AG288+AH288*AI288),2)</f>
        <v>1319504.1000000001</v>
      </c>
      <c r="AK288" s="141">
        <f t="shared" si="311"/>
        <v>29360.82</v>
      </c>
      <c r="AL288" s="203"/>
      <c r="AM288" s="141">
        <f t="shared" si="312"/>
        <v>36645.26</v>
      </c>
      <c r="AN288" s="203"/>
      <c r="AO288" s="141">
        <f t="shared" si="313"/>
        <v>34889.949999999997</v>
      </c>
      <c r="AP288" s="203"/>
      <c r="AQ288" s="142">
        <f>ROUND((AK288*AL288+AM288*AN288+AO288*AP288),2)</f>
        <v>0</v>
      </c>
      <c r="AR288" s="141">
        <f t="shared" si="314"/>
        <v>35718.379999999997</v>
      </c>
      <c r="AS288" s="384"/>
      <c r="AT288" s="142">
        <f>ROUND((AR288*AS288),2)</f>
        <v>0</v>
      </c>
      <c r="AU288" s="143">
        <f>AT288+AQ288+AJ288+AC288+X288+Q288+J288</f>
        <v>24997203.520000003</v>
      </c>
      <c r="AV288" s="375">
        <f>AU288</f>
        <v>24997203.520000003</v>
      </c>
      <c r="AW288" s="141">
        <f t="shared" si="315"/>
        <v>65258.22</v>
      </c>
      <c r="AX288" s="385"/>
      <c r="AY288" s="141">
        <f t="shared" si="316"/>
        <v>81192.94</v>
      </c>
      <c r="AZ288" s="158"/>
      <c r="BA288" s="141">
        <f t="shared" si="317"/>
        <v>77353.2</v>
      </c>
      <c r="BB288" s="202"/>
      <c r="BC288" s="142">
        <f>ROUND((AW288*AX288+AY288*AZ288+BA288*BB288),2)</f>
        <v>0</v>
      </c>
      <c r="BD288" s="141">
        <f t="shared" si="318"/>
        <v>77787.27</v>
      </c>
      <c r="BE288" s="202"/>
      <c r="BF288" s="141">
        <f t="shared" si="319"/>
        <v>96908.93</v>
      </c>
      <c r="BG288" s="202"/>
      <c r="BH288" s="142">
        <f>ROUND((BD288*BE288+BF288*BG288),2)</f>
        <v>0</v>
      </c>
      <c r="BI288" s="144">
        <f>BH288+BC288</f>
        <v>0</v>
      </c>
      <c r="BJ288" s="141">
        <f t="shared" si="320"/>
        <v>25708.01</v>
      </c>
      <c r="BK288" s="202"/>
      <c r="BL288" s="141">
        <f t="shared" si="321"/>
        <v>27763.9</v>
      </c>
      <c r="BM288" s="202"/>
      <c r="BN288" s="141">
        <f t="shared" si="322"/>
        <v>23851.91</v>
      </c>
      <c r="BO288" s="202"/>
      <c r="BP288" s="142">
        <f>ROUND((BJ288*BK288+BL288*BM288+BN288*BO288),2)</f>
        <v>0</v>
      </c>
      <c r="BQ288" s="141">
        <f t="shared" si="323"/>
        <v>42444.76</v>
      </c>
      <c r="BR288" s="202"/>
      <c r="BS288" s="141">
        <f t="shared" si="324"/>
        <v>46158.78</v>
      </c>
      <c r="BT288" s="202"/>
      <c r="BU288" s="141">
        <f t="shared" si="325"/>
        <v>39091.67</v>
      </c>
      <c r="BV288" s="202"/>
      <c r="BW288" s="142">
        <f>ROUND((BQ288*BR288+BS288*BT288+BU288*BV288),2)</f>
        <v>0</v>
      </c>
      <c r="BX288" s="379">
        <f t="shared" si="327"/>
        <v>692</v>
      </c>
      <c r="BY288" s="158"/>
      <c r="BZ288" s="158"/>
    </row>
    <row r="289" spans="1:79" s="159" customFormat="1" ht="16.5">
      <c r="A289" s="198" t="s">
        <v>396</v>
      </c>
      <c r="B289" s="246" t="s">
        <v>630</v>
      </c>
      <c r="C289" s="259" t="s">
        <v>388</v>
      </c>
      <c r="D289" s="141">
        <f t="shared" si="298"/>
        <v>31250.82</v>
      </c>
      <c r="E289" s="258">
        <v>397</v>
      </c>
      <c r="F289" s="141">
        <f t="shared" si="326"/>
        <v>38535.26</v>
      </c>
      <c r="G289" s="258">
        <v>473</v>
      </c>
      <c r="H289" s="141">
        <f t="shared" si="299"/>
        <v>36779.949999999997</v>
      </c>
      <c r="I289" s="258">
        <v>78</v>
      </c>
      <c r="J289" s="142">
        <f>ROUND((D289*E289+F289*G289+H289*I289),2)</f>
        <v>33502589.620000001</v>
      </c>
      <c r="K289" s="141">
        <f t="shared" si="300"/>
        <v>35546.49</v>
      </c>
      <c r="L289" s="200"/>
      <c r="M289" s="141">
        <f t="shared" si="301"/>
        <v>43923.6</v>
      </c>
      <c r="N289" s="200"/>
      <c r="O289" s="141">
        <f t="shared" si="302"/>
        <v>41904.99</v>
      </c>
      <c r="P289" s="200"/>
      <c r="Q289" s="142">
        <f>ROUND((K289*L289+M289*N289+O289*P289),2)</f>
        <v>0</v>
      </c>
      <c r="R289" s="141">
        <f t="shared" si="303"/>
        <v>41274.050000000003</v>
      </c>
      <c r="S289" s="201"/>
      <c r="T289" s="141">
        <f t="shared" si="304"/>
        <v>51108.05</v>
      </c>
      <c r="U289" s="201"/>
      <c r="V289" s="141">
        <f t="shared" si="305"/>
        <v>48738.38</v>
      </c>
      <c r="W289" s="201"/>
      <c r="X289" s="142">
        <f>ROUND((R289*S289+T289*U289+V289*W289),2)</f>
        <v>0</v>
      </c>
      <c r="Y289" s="141">
        <f t="shared" si="306"/>
        <v>45569.73</v>
      </c>
      <c r="Z289" s="201"/>
      <c r="AA289" s="141">
        <f t="shared" si="307"/>
        <v>56496.39</v>
      </c>
      <c r="AB289" s="258"/>
      <c r="AC289" s="142">
        <f>ROUND((Y289*Z289+AA289*AB289),2)</f>
        <v>0</v>
      </c>
      <c r="AD289" s="141">
        <f t="shared" si="308"/>
        <v>54161.08</v>
      </c>
      <c r="AE289" s="258">
        <v>10</v>
      </c>
      <c r="AF289" s="141">
        <f t="shared" si="309"/>
        <v>67273.070000000007</v>
      </c>
      <c r="AG289" s="258">
        <v>30</v>
      </c>
      <c r="AH289" s="141">
        <f t="shared" si="310"/>
        <v>64113.51</v>
      </c>
      <c r="AI289" s="258">
        <v>1</v>
      </c>
      <c r="AJ289" s="142">
        <f>ROUND((AD289*AE289+AF289*AG289+AH289*AI289),2)</f>
        <v>2623916.41</v>
      </c>
      <c r="AK289" s="141">
        <f t="shared" si="311"/>
        <v>29360.82</v>
      </c>
      <c r="AL289" s="200"/>
      <c r="AM289" s="141">
        <f t="shared" si="312"/>
        <v>36645.26</v>
      </c>
      <c r="AN289" s="200"/>
      <c r="AO289" s="141">
        <f t="shared" si="313"/>
        <v>34889.949999999997</v>
      </c>
      <c r="AP289" s="200"/>
      <c r="AQ289" s="142">
        <f>ROUND((AK289*AL289+AM289*AN289+AO289*AP289),2)</f>
        <v>0</v>
      </c>
      <c r="AR289" s="141">
        <f t="shared" si="314"/>
        <v>35718.379999999997</v>
      </c>
      <c r="AS289" s="208"/>
      <c r="AT289" s="142">
        <f>ROUND((AR289*AS289),2)</f>
        <v>0</v>
      </c>
      <c r="AU289" s="143">
        <f>AT289+AQ289+AJ289+AC289+X289+Q289+J289</f>
        <v>36126506.030000001</v>
      </c>
      <c r="AV289" s="375">
        <f>AU289</f>
        <v>36126506.030000001</v>
      </c>
      <c r="AW289" s="141">
        <f t="shared" si="315"/>
        <v>65258.22</v>
      </c>
      <c r="AX289" s="200"/>
      <c r="AY289" s="141">
        <f t="shared" si="316"/>
        <v>81192.94</v>
      </c>
      <c r="AZ289" s="200"/>
      <c r="BA289" s="141">
        <f t="shared" si="317"/>
        <v>77353.2</v>
      </c>
      <c r="BB289" s="200"/>
      <c r="BC289" s="142">
        <f>ROUND((AW289*AX289+AY289*AZ289+BA289*BB289),2)</f>
        <v>0</v>
      </c>
      <c r="BD289" s="141">
        <f t="shared" si="318"/>
        <v>77787.27</v>
      </c>
      <c r="BE289" s="201"/>
      <c r="BF289" s="141">
        <f t="shared" si="319"/>
        <v>96908.93</v>
      </c>
      <c r="BG289" s="201"/>
      <c r="BH289" s="142">
        <f>ROUND((BD289*BE289+BF289*BG289),2)</f>
        <v>0</v>
      </c>
      <c r="BI289" s="144">
        <f>BH289+BC289</f>
        <v>0</v>
      </c>
      <c r="BJ289" s="141">
        <f t="shared" si="320"/>
        <v>25708.01</v>
      </c>
      <c r="BK289" s="201"/>
      <c r="BL289" s="141">
        <f t="shared" si="321"/>
        <v>27763.9</v>
      </c>
      <c r="BM289" s="202"/>
      <c r="BN289" s="141">
        <f t="shared" si="322"/>
        <v>23851.91</v>
      </c>
      <c r="BO289" s="201"/>
      <c r="BP289" s="142">
        <f>ROUND((BJ289*BK289+BL289*BM289+BN289*BO289),2)</f>
        <v>0</v>
      </c>
      <c r="BQ289" s="141">
        <f t="shared" si="323"/>
        <v>42444.76</v>
      </c>
      <c r="BR289" s="201"/>
      <c r="BS289" s="141">
        <f t="shared" si="324"/>
        <v>46158.78</v>
      </c>
      <c r="BT289" s="201"/>
      <c r="BU289" s="141">
        <f t="shared" si="325"/>
        <v>39091.67</v>
      </c>
      <c r="BV289" s="201"/>
      <c r="BW289" s="142">
        <f>ROUND((BQ289*BR289+BS289*BT289+BU289*BV289),2)</f>
        <v>0</v>
      </c>
      <c r="BX289" s="379">
        <f t="shared" si="327"/>
        <v>989</v>
      </c>
      <c r="BY289" s="158"/>
      <c r="BZ289" s="158"/>
    </row>
    <row r="290" spans="1:79" s="159" customFormat="1" ht="16.5">
      <c r="A290" s="198" t="s">
        <v>398</v>
      </c>
      <c r="B290" s="246" t="s">
        <v>631</v>
      </c>
      <c r="C290" s="259" t="s">
        <v>388</v>
      </c>
      <c r="D290" s="141">
        <f t="shared" si="298"/>
        <v>31250.82</v>
      </c>
      <c r="E290" s="258">
        <v>153</v>
      </c>
      <c r="F290" s="141">
        <f t="shared" si="326"/>
        <v>38535.26</v>
      </c>
      <c r="G290" s="258">
        <v>146</v>
      </c>
      <c r="H290" s="141">
        <f t="shared" si="299"/>
        <v>36779.949999999997</v>
      </c>
      <c r="I290" s="258">
        <v>42</v>
      </c>
      <c r="J290" s="142">
        <f>ROUND((D290*E290+F290*G290+H290*I290),2)</f>
        <v>11952281.32</v>
      </c>
      <c r="K290" s="141">
        <f t="shared" si="300"/>
        <v>35546.49</v>
      </c>
      <c r="L290" s="208"/>
      <c r="M290" s="141">
        <f t="shared" si="301"/>
        <v>43923.6</v>
      </c>
      <c r="N290" s="208"/>
      <c r="O290" s="141">
        <f t="shared" si="302"/>
        <v>41904.99</v>
      </c>
      <c r="P290" s="208"/>
      <c r="Q290" s="142">
        <f>ROUND((K290*L290+M290*N290+O290*P290),2)</f>
        <v>0</v>
      </c>
      <c r="R290" s="141">
        <f t="shared" si="303"/>
        <v>41274.050000000003</v>
      </c>
      <c r="S290" s="202"/>
      <c r="T290" s="141">
        <f t="shared" si="304"/>
        <v>51108.05</v>
      </c>
      <c r="U290" s="202"/>
      <c r="V290" s="141">
        <f t="shared" si="305"/>
        <v>48738.38</v>
      </c>
      <c r="W290" s="202"/>
      <c r="X290" s="142">
        <f>ROUND((R290*S290+T290*U290+V290*W290),2)</f>
        <v>0</v>
      </c>
      <c r="Y290" s="141">
        <f t="shared" si="306"/>
        <v>45569.73</v>
      </c>
      <c r="Z290" s="202"/>
      <c r="AA290" s="141">
        <f t="shared" si="307"/>
        <v>56496.39</v>
      </c>
      <c r="AB290" s="258">
        <v>31</v>
      </c>
      <c r="AC290" s="142">
        <f>ROUND((Y290*Z290+AA290*AB290),2)</f>
        <v>1751388.09</v>
      </c>
      <c r="AD290" s="141">
        <f t="shared" si="308"/>
        <v>54161.08</v>
      </c>
      <c r="AE290" s="258">
        <v>8</v>
      </c>
      <c r="AF290" s="141">
        <f t="shared" si="309"/>
        <v>67273.070000000007</v>
      </c>
      <c r="AG290" s="258">
        <v>10</v>
      </c>
      <c r="AH290" s="141">
        <f t="shared" si="310"/>
        <v>64113.51</v>
      </c>
      <c r="AI290" s="258"/>
      <c r="AJ290" s="142">
        <f>ROUND((AD290*AE290+AF290*AG290+AH290*AI290),2)</f>
        <v>1106019.3400000001</v>
      </c>
      <c r="AK290" s="141">
        <f t="shared" si="311"/>
        <v>29360.82</v>
      </c>
      <c r="AL290" s="386"/>
      <c r="AM290" s="141">
        <f t="shared" si="312"/>
        <v>36645.26</v>
      </c>
      <c r="AN290" s="386"/>
      <c r="AO290" s="141">
        <f t="shared" si="313"/>
        <v>34889.949999999997</v>
      </c>
      <c r="AP290" s="386"/>
      <c r="AQ290" s="142">
        <f>ROUND((AK290*AL290+AM290*AN290+AO290*AP290),2)</f>
        <v>0</v>
      </c>
      <c r="AR290" s="141">
        <f t="shared" si="314"/>
        <v>35718.379999999997</v>
      </c>
      <c r="AS290" s="208"/>
      <c r="AT290" s="142">
        <f>ROUND((AR290*AS290),2)</f>
        <v>0</v>
      </c>
      <c r="AU290" s="143">
        <f>AT290+AQ290+AJ290+AC290+X290+Q290+J290</f>
        <v>14809688.75</v>
      </c>
      <c r="AV290" s="375">
        <f>AU290</f>
        <v>14809688.75</v>
      </c>
      <c r="AW290" s="141">
        <f t="shared" si="315"/>
        <v>65258.22</v>
      </c>
      <c r="AX290" s="386"/>
      <c r="AY290" s="141">
        <f t="shared" si="316"/>
        <v>81192.94</v>
      </c>
      <c r="AZ290" s="386"/>
      <c r="BA290" s="141">
        <f t="shared" si="317"/>
        <v>77353.2</v>
      </c>
      <c r="BB290" s="386"/>
      <c r="BC290" s="142">
        <f>ROUND((AW290*AX290+AY290*AZ290+BA290*BB290),2)</f>
        <v>0</v>
      </c>
      <c r="BD290" s="141">
        <f t="shared" si="318"/>
        <v>77787.27</v>
      </c>
      <c r="BE290" s="202"/>
      <c r="BF290" s="141">
        <f t="shared" si="319"/>
        <v>96908.93</v>
      </c>
      <c r="BG290" s="202"/>
      <c r="BH290" s="142">
        <f>ROUND((BD290*BE290+BF290*BG290),2)</f>
        <v>0</v>
      </c>
      <c r="BI290" s="144">
        <f>BH290+BC290</f>
        <v>0</v>
      </c>
      <c r="BJ290" s="141">
        <f t="shared" si="320"/>
        <v>25708.01</v>
      </c>
      <c r="BK290" s="202"/>
      <c r="BL290" s="141">
        <f t="shared" si="321"/>
        <v>27763.9</v>
      </c>
      <c r="BM290" s="202"/>
      <c r="BN290" s="141">
        <f t="shared" si="322"/>
        <v>23851.91</v>
      </c>
      <c r="BO290" s="202"/>
      <c r="BP290" s="142">
        <f>ROUND((BJ290*BK290+BL290*BM290+BN290*BO290),2)</f>
        <v>0</v>
      </c>
      <c r="BQ290" s="141">
        <f t="shared" si="323"/>
        <v>42444.76</v>
      </c>
      <c r="BR290" s="202"/>
      <c r="BS290" s="141">
        <f t="shared" si="324"/>
        <v>46158.78</v>
      </c>
      <c r="BT290" s="202"/>
      <c r="BU290" s="141">
        <f t="shared" si="325"/>
        <v>39091.67</v>
      </c>
      <c r="BV290" s="202"/>
      <c r="BW290" s="142">
        <f>ROUND((BQ290*BR290+BS290*BT290+BU290*BV290),2)</f>
        <v>0</v>
      </c>
      <c r="BX290" s="379">
        <f t="shared" si="327"/>
        <v>390</v>
      </c>
      <c r="BY290" s="158"/>
      <c r="BZ290" s="158"/>
    </row>
    <row r="291" spans="1:79" s="168" customFormat="1" ht="17.25" thickBot="1">
      <c r="A291" s="387" t="s">
        <v>399</v>
      </c>
      <c r="B291" s="195" t="s">
        <v>632</v>
      </c>
      <c r="C291" s="388"/>
      <c r="D291" s="141">
        <f t="shared" si="298"/>
        <v>31250.82</v>
      </c>
      <c r="E291" s="196">
        <f>SUM(E286:E290)</f>
        <v>1134</v>
      </c>
      <c r="F291" s="141">
        <f t="shared" si="326"/>
        <v>38535.26</v>
      </c>
      <c r="G291" s="196">
        <f t="shared" ref="G291:BO291" si="329">SUM(G286:G290)</f>
        <v>1272</v>
      </c>
      <c r="H291" s="141">
        <f t="shared" si="299"/>
        <v>36779.949999999997</v>
      </c>
      <c r="I291" s="196">
        <f t="shared" si="329"/>
        <v>234</v>
      </c>
      <c r="J291" s="196">
        <f t="shared" si="329"/>
        <v>93061788.900000006</v>
      </c>
      <c r="K291" s="141">
        <f t="shared" si="300"/>
        <v>35546.49</v>
      </c>
      <c r="L291" s="196">
        <f t="shared" si="329"/>
        <v>0</v>
      </c>
      <c r="M291" s="141">
        <f t="shared" si="301"/>
        <v>43923.6</v>
      </c>
      <c r="N291" s="196">
        <f t="shared" si="329"/>
        <v>0</v>
      </c>
      <c r="O291" s="141">
        <f t="shared" si="302"/>
        <v>41904.99</v>
      </c>
      <c r="P291" s="196">
        <f t="shared" si="329"/>
        <v>0</v>
      </c>
      <c r="Q291" s="196">
        <f>SUM(Q286:Q290)</f>
        <v>0</v>
      </c>
      <c r="R291" s="141">
        <f t="shared" si="303"/>
        <v>41274.050000000003</v>
      </c>
      <c r="S291" s="196">
        <f t="shared" si="329"/>
        <v>0</v>
      </c>
      <c r="T291" s="141">
        <f t="shared" si="304"/>
        <v>51108.05</v>
      </c>
      <c r="U291" s="196">
        <f t="shared" si="329"/>
        <v>0</v>
      </c>
      <c r="V291" s="141">
        <f t="shared" si="305"/>
        <v>48738.38</v>
      </c>
      <c r="W291" s="196">
        <f t="shared" si="329"/>
        <v>0</v>
      </c>
      <c r="X291" s="196">
        <f>SUM(X286:X290)</f>
        <v>0</v>
      </c>
      <c r="Y291" s="141">
        <f t="shared" si="306"/>
        <v>45569.73</v>
      </c>
      <c r="Z291" s="196">
        <f t="shared" si="329"/>
        <v>0</v>
      </c>
      <c r="AA291" s="141">
        <f t="shared" si="307"/>
        <v>56496.39</v>
      </c>
      <c r="AB291" s="196">
        <f t="shared" si="329"/>
        <v>41</v>
      </c>
      <c r="AC291" s="196">
        <f t="shared" si="329"/>
        <v>2316351.9900000002</v>
      </c>
      <c r="AD291" s="141">
        <f t="shared" si="308"/>
        <v>54161.08</v>
      </c>
      <c r="AE291" s="196">
        <f t="shared" si="329"/>
        <v>44</v>
      </c>
      <c r="AF291" s="141">
        <f t="shared" si="309"/>
        <v>67273.070000000007</v>
      </c>
      <c r="AG291" s="196">
        <f t="shared" si="329"/>
        <v>71</v>
      </c>
      <c r="AH291" s="141">
        <f t="shared" si="310"/>
        <v>64113.51</v>
      </c>
      <c r="AI291" s="196">
        <f t="shared" si="329"/>
        <v>3</v>
      </c>
      <c r="AJ291" s="196">
        <f>SUM(AJ286:AJ290)</f>
        <v>7351816.0199999996</v>
      </c>
      <c r="AK291" s="141">
        <f t="shared" si="311"/>
        <v>29360.82</v>
      </c>
      <c r="AL291" s="196">
        <f t="shared" si="329"/>
        <v>0</v>
      </c>
      <c r="AM291" s="141">
        <f t="shared" si="312"/>
        <v>36645.26</v>
      </c>
      <c r="AN291" s="196">
        <f t="shared" si="329"/>
        <v>0</v>
      </c>
      <c r="AO291" s="141">
        <f t="shared" si="313"/>
        <v>34889.949999999997</v>
      </c>
      <c r="AP291" s="196">
        <f t="shared" si="329"/>
        <v>0</v>
      </c>
      <c r="AQ291" s="196">
        <f>SUM(AQ286:AQ290)</f>
        <v>0</v>
      </c>
      <c r="AR291" s="141">
        <f t="shared" si="314"/>
        <v>35718.379999999997</v>
      </c>
      <c r="AS291" s="196">
        <f t="shared" si="329"/>
        <v>0</v>
      </c>
      <c r="AT291" s="196">
        <f t="shared" si="329"/>
        <v>0</v>
      </c>
      <c r="AU291" s="1077">
        <f t="shared" si="329"/>
        <v>102729956.91</v>
      </c>
      <c r="AV291" s="540">
        <f>SUM(AV286:AV290)</f>
        <v>103579465.33000001</v>
      </c>
      <c r="AW291" s="141">
        <f t="shared" si="315"/>
        <v>65258.22</v>
      </c>
      <c r="AX291" s="196">
        <f t="shared" si="329"/>
        <v>0</v>
      </c>
      <c r="AY291" s="141">
        <f t="shared" si="316"/>
        <v>81192.94</v>
      </c>
      <c r="AZ291" s="196">
        <f t="shared" si="329"/>
        <v>0</v>
      </c>
      <c r="BA291" s="141">
        <f t="shared" si="317"/>
        <v>77353.2</v>
      </c>
      <c r="BB291" s="196">
        <f t="shared" si="329"/>
        <v>0</v>
      </c>
      <c r="BC291" s="196">
        <f>SUM(BC286:BC290)</f>
        <v>0</v>
      </c>
      <c r="BD291" s="141">
        <f t="shared" si="318"/>
        <v>77787.27</v>
      </c>
      <c r="BE291" s="196">
        <f t="shared" si="329"/>
        <v>0</v>
      </c>
      <c r="BF291" s="141">
        <f t="shared" si="319"/>
        <v>96908.93</v>
      </c>
      <c r="BG291" s="196">
        <f t="shared" si="329"/>
        <v>0</v>
      </c>
      <c r="BH291" s="196">
        <f t="shared" si="329"/>
        <v>0</v>
      </c>
      <c r="BI291" s="196">
        <f t="shared" si="329"/>
        <v>0</v>
      </c>
      <c r="BJ291" s="141">
        <f t="shared" si="320"/>
        <v>25708.01</v>
      </c>
      <c r="BK291" s="196">
        <f t="shared" si="329"/>
        <v>0</v>
      </c>
      <c r="BL291" s="141">
        <f t="shared" si="321"/>
        <v>27763.9</v>
      </c>
      <c r="BM291" s="196">
        <f t="shared" si="329"/>
        <v>0</v>
      </c>
      <c r="BN291" s="141">
        <f t="shared" si="322"/>
        <v>23851.91</v>
      </c>
      <c r="BO291" s="196">
        <f t="shared" si="329"/>
        <v>0</v>
      </c>
      <c r="BP291" s="196">
        <f>SUM(BP286:BP290)</f>
        <v>0</v>
      </c>
      <c r="BQ291" s="141">
        <f t="shared" si="323"/>
        <v>42444.76</v>
      </c>
      <c r="BR291" s="196">
        <f t="shared" ref="BR291:BX291" si="330">SUM(BR286:BR290)</f>
        <v>0</v>
      </c>
      <c r="BS291" s="141">
        <f t="shared" si="324"/>
        <v>46158.78</v>
      </c>
      <c r="BT291" s="196">
        <f t="shared" si="330"/>
        <v>0</v>
      </c>
      <c r="BU291" s="141">
        <f t="shared" si="325"/>
        <v>39091.67</v>
      </c>
      <c r="BV291" s="196">
        <f t="shared" si="330"/>
        <v>0</v>
      </c>
      <c r="BW291" s="196">
        <f t="shared" si="330"/>
        <v>0</v>
      </c>
      <c r="BX291" s="389">
        <f t="shared" si="330"/>
        <v>2799</v>
      </c>
      <c r="BY291" s="390"/>
      <c r="BZ291" s="390"/>
      <c r="CA291" s="391"/>
    </row>
    <row r="292" spans="1:79" ht="18.75">
      <c r="A292" s="1631" t="s">
        <v>633</v>
      </c>
      <c r="B292" s="1632"/>
      <c r="C292" s="1633"/>
      <c r="D292" s="851">
        <f t="shared" si="298"/>
        <v>31250.82</v>
      </c>
      <c r="E292" s="335"/>
      <c r="F292" s="851">
        <f>F293</f>
        <v>38535.26</v>
      </c>
      <c r="G292" s="335"/>
      <c r="H292" s="851">
        <f t="shared" si="299"/>
        <v>36779.949999999997</v>
      </c>
      <c r="I292" s="335"/>
      <c r="J292" s="335"/>
      <c r="K292" s="852">
        <f t="shared" si="300"/>
        <v>35546.49</v>
      </c>
      <c r="L292" s="335"/>
      <c r="M292" s="852">
        <f t="shared" si="301"/>
        <v>43923.6</v>
      </c>
      <c r="N292" s="335"/>
      <c r="O292" s="852">
        <f t="shared" si="302"/>
        <v>41904.99</v>
      </c>
      <c r="P292" s="335"/>
      <c r="Q292" s="335"/>
      <c r="R292" s="852">
        <f t="shared" si="303"/>
        <v>41274.050000000003</v>
      </c>
      <c r="S292" s="335"/>
      <c r="T292" s="852">
        <f t="shared" si="304"/>
        <v>51108.05</v>
      </c>
      <c r="U292" s="335"/>
      <c r="V292" s="852">
        <f t="shared" si="305"/>
        <v>48738.38</v>
      </c>
      <c r="W292" s="335"/>
      <c r="X292" s="335"/>
      <c r="Y292" s="852">
        <f t="shared" si="306"/>
        <v>45569.73</v>
      </c>
      <c r="Z292" s="335"/>
      <c r="AA292" s="852">
        <f t="shared" si="307"/>
        <v>56496.39</v>
      </c>
      <c r="AB292" s="335"/>
      <c r="AC292" s="335"/>
      <c r="AD292" s="851">
        <f t="shared" si="308"/>
        <v>54161.08</v>
      </c>
      <c r="AE292" s="335"/>
      <c r="AF292" s="851">
        <f t="shared" si="309"/>
        <v>67273.070000000007</v>
      </c>
      <c r="AG292" s="335"/>
      <c r="AH292" s="851">
        <f t="shared" si="310"/>
        <v>64113.51</v>
      </c>
      <c r="AI292" s="335"/>
      <c r="AJ292" s="335"/>
      <c r="AK292" s="852">
        <f t="shared" si="311"/>
        <v>29360.82</v>
      </c>
      <c r="AL292" s="335"/>
      <c r="AM292" s="852">
        <f t="shared" si="312"/>
        <v>36645.26</v>
      </c>
      <c r="AN292" s="335"/>
      <c r="AO292" s="852">
        <f t="shared" si="313"/>
        <v>34889.949999999997</v>
      </c>
      <c r="AP292" s="335"/>
      <c r="AQ292" s="335"/>
      <c r="AR292" s="852">
        <f t="shared" si="314"/>
        <v>35718.379999999997</v>
      </c>
      <c r="AS292" s="335"/>
      <c r="AT292" s="335"/>
      <c r="AU292" s="1078"/>
      <c r="AV292" s="212">
        <f>ROUND(AV304/AU304,5)</f>
        <v>1.0960099999999999</v>
      </c>
      <c r="AW292" s="852">
        <f t="shared" si="315"/>
        <v>65258.22</v>
      </c>
      <c r="AX292" s="335"/>
      <c r="AY292" s="852">
        <f t="shared" si="316"/>
        <v>81192.94</v>
      </c>
      <c r="AZ292" s="335"/>
      <c r="BA292" s="852">
        <f t="shared" si="317"/>
        <v>77353.2</v>
      </c>
      <c r="BB292" s="335"/>
      <c r="BC292" s="335"/>
      <c r="BD292" s="852">
        <f t="shared" si="318"/>
        <v>77787.27</v>
      </c>
      <c r="BE292" s="335"/>
      <c r="BF292" s="852">
        <f t="shared" si="319"/>
        <v>96908.93</v>
      </c>
      <c r="BG292" s="335"/>
      <c r="BH292" s="335"/>
      <c r="BI292" s="335"/>
      <c r="BJ292" s="852">
        <f t="shared" si="320"/>
        <v>25708.01</v>
      </c>
      <c r="BK292" s="335"/>
      <c r="BL292" s="852">
        <f t="shared" si="321"/>
        <v>27763.9</v>
      </c>
      <c r="BM292" s="335"/>
      <c r="BN292" s="852">
        <f t="shared" si="322"/>
        <v>23851.91</v>
      </c>
      <c r="BO292" s="335"/>
      <c r="BP292" s="335"/>
      <c r="BQ292" s="852">
        <f t="shared" si="323"/>
        <v>42444.76</v>
      </c>
      <c r="BR292" s="335"/>
      <c r="BS292" s="852">
        <f t="shared" si="324"/>
        <v>46158.78</v>
      </c>
      <c r="BT292" s="335"/>
      <c r="BU292" s="852">
        <f t="shared" si="325"/>
        <v>39091.67</v>
      </c>
      <c r="BV292" s="335"/>
      <c r="BW292" s="335"/>
      <c r="BX292" s="335"/>
      <c r="BY292" s="853"/>
    </row>
    <row r="293" spans="1:79" s="106" customFormat="1" ht="35.25" customHeight="1">
      <c r="A293" s="95"/>
      <c r="B293" s="392" t="s">
        <v>634</v>
      </c>
      <c r="C293" s="332" t="s">
        <v>388</v>
      </c>
      <c r="D293" s="854">
        <v>31250.82</v>
      </c>
      <c r="E293" s="393">
        <v>175</v>
      </c>
      <c r="F293" s="854">
        <f>F294</f>
        <v>38535.26</v>
      </c>
      <c r="G293" s="393">
        <v>181</v>
      </c>
      <c r="H293" s="854">
        <f t="shared" si="299"/>
        <v>36779.949999999997</v>
      </c>
      <c r="I293" s="393">
        <v>59</v>
      </c>
      <c r="J293" s="142">
        <f t="shared" ref="J293:J301" si="331">ROUND((D293*E293+F293*G293+H293*I293),2)</f>
        <v>14613792.609999999</v>
      </c>
      <c r="K293" s="141">
        <f t="shared" si="300"/>
        <v>35546.49</v>
      </c>
      <c r="L293" s="393"/>
      <c r="M293" s="141">
        <f t="shared" si="301"/>
        <v>43923.6</v>
      </c>
      <c r="N293" s="393"/>
      <c r="O293" s="141">
        <f t="shared" si="302"/>
        <v>41904.99</v>
      </c>
      <c r="P293" s="394"/>
      <c r="Q293" s="142">
        <f t="shared" ref="Q293:Q301" si="332">ROUND((K293*L293+M293*N293+O293*P293),2)</f>
        <v>0</v>
      </c>
      <c r="R293" s="141">
        <f t="shared" si="303"/>
        <v>41274.050000000003</v>
      </c>
      <c r="S293" s="395"/>
      <c r="T293" s="141">
        <f t="shared" si="304"/>
        <v>51108.05</v>
      </c>
      <c r="U293" s="395"/>
      <c r="V293" s="141">
        <f t="shared" si="305"/>
        <v>48738.38</v>
      </c>
      <c r="W293" s="396"/>
      <c r="X293" s="142">
        <f t="shared" ref="X293:X301" si="333">ROUND((R293*S293+T293*U293+V293*W293),2)</f>
        <v>0</v>
      </c>
      <c r="Y293" s="141">
        <f t="shared" si="306"/>
        <v>45569.73</v>
      </c>
      <c r="Z293" s="395"/>
      <c r="AA293" s="141">
        <f t="shared" si="307"/>
        <v>56496.39</v>
      </c>
      <c r="AB293" s="100"/>
      <c r="AC293" s="142">
        <f>ROUND((Y293*Z293+AA293*AB293),2)</f>
        <v>0</v>
      </c>
      <c r="AD293" s="854">
        <f t="shared" si="308"/>
        <v>54161.08</v>
      </c>
      <c r="AE293" s="393">
        <v>3</v>
      </c>
      <c r="AF293" s="854">
        <f t="shared" si="309"/>
        <v>67273.070000000007</v>
      </c>
      <c r="AG293" s="393">
        <v>3</v>
      </c>
      <c r="AH293" s="854">
        <f t="shared" si="310"/>
        <v>64113.51</v>
      </c>
      <c r="AI293" s="393"/>
      <c r="AJ293" s="142">
        <f t="shared" ref="AJ293:AJ301" si="334">ROUND((AD293*AE293+AF293*AG293+AH293*AI293),2)</f>
        <v>364302.45</v>
      </c>
      <c r="AK293" s="141">
        <f t="shared" si="311"/>
        <v>29360.82</v>
      </c>
      <c r="AL293" s="101"/>
      <c r="AM293" s="141">
        <f t="shared" si="312"/>
        <v>36645.26</v>
      </c>
      <c r="AN293" s="101"/>
      <c r="AO293" s="141">
        <f t="shared" si="313"/>
        <v>34889.949999999997</v>
      </c>
      <c r="AP293" s="101"/>
      <c r="AQ293" s="142">
        <f t="shared" ref="AQ293:AQ301" si="335">ROUND((AK293*AL293+AM293*AN293+AO293*AP293),2)</f>
        <v>0</v>
      </c>
      <c r="AR293" s="141">
        <f t="shared" si="314"/>
        <v>35718.379999999997</v>
      </c>
      <c r="AS293" s="104"/>
      <c r="AT293" s="142">
        <f>ROUND((AR293*AS293),2)</f>
        <v>0</v>
      </c>
      <c r="AU293" s="143">
        <f>AT293+AQ293+AJ293+AC293+X293+Q293+J293</f>
        <v>14978095.059999999</v>
      </c>
      <c r="AV293" s="105"/>
      <c r="AW293" s="141">
        <f t="shared" si="315"/>
        <v>65258.22</v>
      </c>
      <c r="AX293" s="102"/>
      <c r="AY293" s="141">
        <f t="shared" si="316"/>
        <v>81192.94</v>
      </c>
      <c r="AZ293" s="102"/>
      <c r="BA293" s="141">
        <f t="shared" si="317"/>
        <v>77353.2</v>
      </c>
      <c r="BB293" s="102"/>
      <c r="BC293" s="142">
        <f t="shared" ref="BC293:BC301" si="336">ROUND((AW293*AX293+AY293*AZ293+BA293*BB293),2)</f>
        <v>0</v>
      </c>
      <c r="BD293" s="141">
        <f t="shared" si="318"/>
        <v>77787.27</v>
      </c>
      <c r="BE293" s="100"/>
      <c r="BF293" s="141">
        <f t="shared" si="319"/>
        <v>96908.93</v>
      </c>
      <c r="BG293" s="100"/>
      <c r="BH293" s="142">
        <f>ROUND((BD293*BE293+BF293*BG293),2)</f>
        <v>0</v>
      </c>
      <c r="BI293" s="144">
        <f>BH293+BC293</f>
        <v>0</v>
      </c>
      <c r="BJ293" s="141">
        <f t="shared" si="320"/>
        <v>25708.01</v>
      </c>
      <c r="BK293" s="100"/>
      <c r="BL293" s="141">
        <f t="shared" si="321"/>
        <v>27763.9</v>
      </c>
      <c r="BM293" s="100"/>
      <c r="BN293" s="141">
        <f t="shared" si="322"/>
        <v>23851.91</v>
      </c>
      <c r="BO293" s="100"/>
      <c r="BP293" s="142">
        <f t="shared" ref="BP293:BP301" si="337">ROUND((BJ293*BK293+BL293*BM293+BN293*BO293),2)</f>
        <v>0</v>
      </c>
      <c r="BQ293" s="141">
        <f t="shared" si="323"/>
        <v>42444.76</v>
      </c>
      <c r="BR293" s="103"/>
      <c r="BS293" s="141">
        <f t="shared" si="324"/>
        <v>46158.78</v>
      </c>
      <c r="BT293" s="393"/>
      <c r="BU293" s="141">
        <f t="shared" si="325"/>
        <v>39091.67</v>
      </c>
      <c r="BV293" s="393"/>
      <c r="BW293" s="142">
        <f t="shared" ref="BW293:BW301" si="338">ROUND((BQ293*BR293+BS293*BT293+BU293*BV293),2)</f>
        <v>0</v>
      </c>
      <c r="BX293" s="397">
        <f t="shared" ref="BX293:BX303" si="339">BV293+BT293+BR293+BO293+BM293+BK293+BG293+BE293+BB293+AZ293+AX293+AS293+AP293+AN293+AL293+AI293+AG293+AE293+AB293+Z293+W293+U293+S293+P293+N293+L293+I293+G293+E293</f>
        <v>421</v>
      </c>
      <c r="BY293" s="107"/>
    </row>
    <row r="294" spans="1:79" s="116" customFormat="1" ht="35.25" customHeight="1">
      <c r="A294" s="108"/>
      <c r="B294" s="398" t="s">
        <v>635</v>
      </c>
      <c r="C294" s="332" t="s">
        <v>388</v>
      </c>
      <c r="D294" s="854">
        <f t="shared" si="298"/>
        <v>31250.82</v>
      </c>
      <c r="E294" s="393">
        <v>87</v>
      </c>
      <c r="F294" s="854">
        <f t="shared" ref="F294:F303" si="340">F295</f>
        <v>38535.26</v>
      </c>
      <c r="G294" s="393">
        <v>80</v>
      </c>
      <c r="H294" s="854">
        <f t="shared" si="299"/>
        <v>36779.949999999997</v>
      </c>
      <c r="I294" s="393">
        <v>26</v>
      </c>
      <c r="J294" s="142">
        <f t="shared" si="331"/>
        <v>6757920.8399999999</v>
      </c>
      <c r="K294" s="141">
        <f t="shared" si="300"/>
        <v>35546.49</v>
      </c>
      <c r="L294" s="393"/>
      <c r="M294" s="141">
        <f t="shared" si="301"/>
        <v>43923.6</v>
      </c>
      <c r="N294" s="393"/>
      <c r="O294" s="141">
        <f t="shared" si="302"/>
        <v>41904.99</v>
      </c>
      <c r="P294" s="399"/>
      <c r="Q294" s="142">
        <f t="shared" si="332"/>
        <v>0</v>
      </c>
      <c r="R294" s="141">
        <f t="shared" si="303"/>
        <v>41274.050000000003</v>
      </c>
      <c r="S294" s="399"/>
      <c r="T294" s="141">
        <f t="shared" si="304"/>
        <v>51108.05</v>
      </c>
      <c r="U294" s="399"/>
      <c r="V294" s="141">
        <f t="shared" si="305"/>
        <v>48738.38</v>
      </c>
      <c r="W294" s="399"/>
      <c r="X294" s="142">
        <f t="shared" si="333"/>
        <v>0</v>
      </c>
      <c r="Y294" s="141">
        <f t="shared" si="306"/>
        <v>45569.73</v>
      </c>
      <c r="Z294" s="399"/>
      <c r="AA294" s="141">
        <f t="shared" si="307"/>
        <v>56496.39</v>
      </c>
      <c r="AB294" s="111"/>
      <c r="AC294" s="142">
        <f>ROUND((Y294*Z294+AA294*AB294),2)</f>
        <v>0</v>
      </c>
      <c r="AD294" s="854">
        <f t="shared" si="308"/>
        <v>54161.08</v>
      </c>
      <c r="AE294" s="393">
        <v>2</v>
      </c>
      <c r="AF294" s="854">
        <f t="shared" si="309"/>
        <v>67273.070000000007</v>
      </c>
      <c r="AG294" s="393">
        <v>8</v>
      </c>
      <c r="AH294" s="854">
        <f t="shared" si="310"/>
        <v>64113.51</v>
      </c>
      <c r="AI294" s="393"/>
      <c r="AJ294" s="142">
        <f t="shared" si="334"/>
        <v>646506.72</v>
      </c>
      <c r="AK294" s="141">
        <f t="shared" si="311"/>
        <v>29360.82</v>
      </c>
      <c r="AL294" s="113"/>
      <c r="AM294" s="141">
        <f t="shared" si="312"/>
        <v>36645.26</v>
      </c>
      <c r="AN294" s="113"/>
      <c r="AO294" s="141">
        <f t="shared" si="313"/>
        <v>34889.949999999997</v>
      </c>
      <c r="AP294" s="113"/>
      <c r="AQ294" s="142">
        <f t="shared" si="335"/>
        <v>0</v>
      </c>
      <c r="AR294" s="141">
        <f t="shared" si="314"/>
        <v>35718.379999999997</v>
      </c>
      <c r="AS294" s="114"/>
      <c r="AT294" s="142">
        <f>ROUND((AR294*AS294),2)</f>
        <v>0</v>
      </c>
      <c r="AU294" s="143">
        <f>AT294+AQ294+AJ294+AC294+X294+Q294+J294</f>
        <v>7404427.5599999996</v>
      </c>
      <c r="AV294" s="115"/>
      <c r="AW294" s="141">
        <f t="shared" si="315"/>
        <v>65258.22</v>
      </c>
      <c r="AX294" s="113"/>
      <c r="AY294" s="141">
        <f t="shared" si="316"/>
        <v>81192.94</v>
      </c>
      <c r="AZ294" s="113"/>
      <c r="BA294" s="141">
        <f t="shared" si="317"/>
        <v>77353.2</v>
      </c>
      <c r="BB294" s="113"/>
      <c r="BC294" s="142">
        <f t="shared" si="336"/>
        <v>0</v>
      </c>
      <c r="BD294" s="141">
        <f t="shared" si="318"/>
        <v>77787.27</v>
      </c>
      <c r="BE294" s="111"/>
      <c r="BF294" s="141">
        <f t="shared" si="319"/>
        <v>96908.93</v>
      </c>
      <c r="BG294" s="111"/>
      <c r="BH294" s="142">
        <f>ROUND((BD294*BE294+BF294*BG294),2)</f>
        <v>0</v>
      </c>
      <c r="BI294" s="144">
        <f>BH294+BC294</f>
        <v>0</v>
      </c>
      <c r="BJ294" s="141">
        <f t="shared" si="320"/>
        <v>25708.01</v>
      </c>
      <c r="BK294" s="111"/>
      <c r="BL294" s="141">
        <f t="shared" si="321"/>
        <v>27763.9</v>
      </c>
      <c r="BM294" s="111"/>
      <c r="BN294" s="141">
        <f t="shared" si="322"/>
        <v>23851.91</v>
      </c>
      <c r="BO294" s="111"/>
      <c r="BP294" s="142">
        <f t="shared" si="337"/>
        <v>0</v>
      </c>
      <c r="BQ294" s="141">
        <f t="shared" si="323"/>
        <v>42444.76</v>
      </c>
      <c r="BR294" s="111"/>
      <c r="BS294" s="141">
        <f t="shared" si="324"/>
        <v>46158.78</v>
      </c>
      <c r="BT294" s="393"/>
      <c r="BU294" s="141">
        <f t="shared" si="325"/>
        <v>39091.67</v>
      </c>
      <c r="BV294" s="393"/>
      <c r="BW294" s="142">
        <f t="shared" si="338"/>
        <v>0</v>
      </c>
      <c r="BX294" s="397">
        <f t="shared" si="339"/>
        <v>203</v>
      </c>
      <c r="BY294" s="117"/>
    </row>
    <row r="295" spans="1:79" s="116" customFormat="1" ht="35.25" hidden="1" customHeight="1">
      <c r="A295" s="118"/>
      <c r="B295" s="398"/>
      <c r="C295" s="332" t="s">
        <v>388</v>
      </c>
      <c r="D295" s="854">
        <f t="shared" si="298"/>
        <v>31250.82</v>
      </c>
      <c r="E295" s="393"/>
      <c r="F295" s="854">
        <f t="shared" si="340"/>
        <v>38535.26</v>
      </c>
      <c r="G295" s="393"/>
      <c r="H295" s="854">
        <f t="shared" si="299"/>
        <v>36779.949999999997</v>
      </c>
      <c r="I295" s="393"/>
      <c r="J295" s="142">
        <f t="shared" si="331"/>
        <v>0</v>
      </c>
      <c r="K295" s="141">
        <f t="shared" si="300"/>
        <v>35546.49</v>
      </c>
      <c r="L295" s="393"/>
      <c r="M295" s="141">
        <f t="shared" si="301"/>
        <v>43923.6</v>
      </c>
      <c r="N295" s="393"/>
      <c r="O295" s="141">
        <f t="shared" si="302"/>
        <v>41904.99</v>
      </c>
      <c r="P295" s="399"/>
      <c r="Q295" s="142">
        <f t="shared" si="332"/>
        <v>0</v>
      </c>
      <c r="R295" s="141">
        <f t="shared" si="303"/>
        <v>41274.050000000003</v>
      </c>
      <c r="S295" s="399"/>
      <c r="T295" s="141">
        <f t="shared" si="304"/>
        <v>51108.05</v>
      </c>
      <c r="U295" s="399"/>
      <c r="V295" s="141">
        <f t="shared" si="305"/>
        <v>48738.38</v>
      </c>
      <c r="W295" s="399"/>
      <c r="X295" s="142">
        <f t="shared" si="333"/>
        <v>0</v>
      </c>
      <c r="Y295" s="141">
        <f t="shared" si="306"/>
        <v>45569.73</v>
      </c>
      <c r="Z295" s="399"/>
      <c r="AA295" s="141">
        <f t="shared" si="307"/>
        <v>56496.39</v>
      </c>
      <c r="AB295" s="111"/>
      <c r="AC295" s="142">
        <f>ROUND((Y295*Z295+AA295*AB295),2)</f>
        <v>0</v>
      </c>
      <c r="AD295" s="854">
        <f t="shared" si="308"/>
        <v>54161.08</v>
      </c>
      <c r="AE295" s="393"/>
      <c r="AF295" s="854">
        <f t="shared" si="309"/>
        <v>67273.070000000007</v>
      </c>
      <c r="AG295" s="393"/>
      <c r="AH295" s="854">
        <f t="shared" si="310"/>
        <v>64113.51</v>
      </c>
      <c r="AI295" s="393"/>
      <c r="AJ295" s="142">
        <f t="shared" si="334"/>
        <v>0</v>
      </c>
      <c r="AK295" s="141">
        <f t="shared" si="311"/>
        <v>29360.82</v>
      </c>
      <c r="AL295" s="113"/>
      <c r="AM295" s="141">
        <f t="shared" si="312"/>
        <v>36645.26</v>
      </c>
      <c r="AN295" s="113"/>
      <c r="AO295" s="141">
        <f t="shared" si="313"/>
        <v>34889.949999999997</v>
      </c>
      <c r="AP295" s="113"/>
      <c r="AQ295" s="142">
        <f t="shared" si="335"/>
        <v>0</v>
      </c>
      <c r="AR295" s="141">
        <f t="shared" si="314"/>
        <v>35718.379999999997</v>
      </c>
      <c r="AS295" s="114"/>
      <c r="AT295" s="142">
        <f>ROUND((AR295*AS295),2)</f>
        <v>0</v>
      </c>
      <c r="AU295" s="143">
        <f>AT295+AQ295+AJ295+AC295+X295+Q295+J295</f>
        <v>0</v>
      </c>
      <c r="AV295" s="115"/>
      <c r="AW295" s="141">
        <f t="shared" si="315"/>
        <v>65258.22</v>
      </c>
      <c r="AX295" s="113"/>
      <c r="AY295" s="141">
        <f t="shared" si="316"/>
        <v>81192.94</v>
      </c>
      <c r="AZ295" s="113"/>
      <c r="BA295" s="141">
        <f t="shared" si="317"/>
        <v>77353.2</v>
      </c>
      <c r="BB295" s="113"/>
      <c r="BC295" s="142">
        <f t="shared" si="336"/>
        <v>0</v>
      </c>
      <c r="BD295" s="141">
        <f t="shared" si="318"/>
        <v>77787.27</v>
      </c>
      <c r="BE295" s="111"/>
      <c r="BF295" s="141">
        <f t="shared" si="319"/>
        <v>96908.93</v>
      </c>
      <c r="BG295" s="111"/>
      <c r="BH295" s="142">
        <f>ROUND((BD295*BE295+BF295*BG295),2)</f>
        <v>0</v>
      </c>
      <c r="BI295" s="144">
        <f>BH295+BC295</f>
        <v>0</v>
      </c>
      <c r="BJ295" s="141">
        <f t="shared" si="320"/>
        <v>25708.01</v>
      </c>
      <c r="BK295" s="111"/>
      <c r="BL295" s="141">
        <f t="shared" si="321"/>
        <v>27763.9</v>
      </c>
      <c r="BM295" s="111"/>
      <c r="BN295" s="141">
        <f t="shared" si="322"/>
        <v>23851.91</v>
      </c>
      <c r="BO295" s="111"/>
      <c r="BP295" s="142">
        <f t="shared" si="337"/>
        <v>0</v>
      </c>
      <c r="BQ295" s="141">
        <f t="shared" si="323"/>
        <v>42444.76</v>
      </c>
      <c r="BR295" s="111"/>
      <c r="BS295" s="141">
        <f t="shared" si="324"/>
        <v>46158.78</v>
      </c>
      <c r="BT295" s="393"/>
      <c r="BU295" s="141">
        <f t="shared" si="325"/>
        <v>39091.67</v>
      </c>
      <c r="BV295" s="393"/>
      <c r="BW295" s="142">
        <f t="shared" si="338"/>
        <v>0</v>
      </c>
      <c r="BX295" s="397">
        <f t="shared" si="339"/>
        <v>0</v>
      </c>
      <c r="BY295" s="117"/>
    </row>
    <row r="296" spans="1:79" s="116" customFormat="1" ht="35.25" customHeight="1">
      <c r="A296" s="118"/>
      <c r="B296" s="398" t="s">
        <v>636</v>
      </c>
      <c r="C296" s="332" t="s">
        <v>388</v>
      </c>
      <c r="D296" s="854">
        <f t="shared" si="298"/>
        <v>31250.82</v>
      </c>
      <c r="E296" s="400"/>
      <c r="F296" s="854">
        <f t="shared" si="340"/>
        <v>38535.26</v>
      </c>
      <c r="G296" s="400"/>
      <c r="H296" s="854">
        <f t="shared" si="299"/>
        <v>36779.949999999997</v>
      </c>
      <c r="I296" s="400"/>
      <c r="J296" s="142">
        <f t="shared" si="331"/>
        <v>0</v>
      </c>
      <c r="K296" s="141">
        <f t="shared" si="300"/>
        <v>35546.49</v>
      </c>
      <c r="L296" s="400"/>
      <c r="M296" s="141">
        <f t="shared" si="301"/>
        <v>43923.6</v>
      </c>
      <c r="N296" s="400"/>
      <c r="O296" s="141">
        <f t="shared" si="302"/>
        <v>41904.99</v>
      </c>
      <c r="P296" s="401"/>
      <c r="Q296" s="142">
        <f t="shared" si="332"/>
        <v>0</v>
      </c>
      <c r="R296" s="141">
        <f t="shared" si="303"/>
        <v>41274.050000000003</v>
      </c>
      <c r="S296" s="401"/>
      <c r="T296" s="141">
        <f t="shared" si="304"/>
        <v>51108.05</v>
      </c>
      <c r="U296" s="401"/>
      <c r="V296" s="141">
        <f t="shared" si="305"/>
        <v>48738.38</v>
      </c>
      <c r="W296" s="401"/>
      <c r="X296" s="142">
        <f t="shared" si="333"/>
        <v>0</v>
      </c>
      <c r="Y296" s="141">
        <f t="shared" si="306"/>
        <v>45569.73</v>
      </c>
      <c r="Z296" s="401"/>
      <c r="AA296" s="141">
        <f t="shared" si="307"/>
        <v>56496.39</v>
      </c>
      <c r="AB296" s="104"/>
      <c r="AC296" s="142">
        <f>ROUND((Y296*Z296+AA296*AB296),2)</f>
        <v>0</v>
      </c>
      <c r="AD296" s="854">
        <f t="shared" si="308"/>
        <v>54161.08</v>
      </c>
      <c r="AE296" s="400"/>
      <c r="AF296" s="854">
        <f t="shared" si="309"/>
        <v>67273.070000000007</v>
      </c>
      <c r="AG296" s="400"/>
      <c r="AH296" s="854">
        <f t="shared" si="310"/>
        <v>64113.51</v>
      </c>
      <c r="AI296" s="400"/>
      <c r="AJ296" s="142">
        <f t="shared" si="334"/>
        <v>0</v>
      </c>
      <c r="AK296" s="141">
        <f t="shared" si="311"/>
        <v>29360.82</v>
      </c>
      <c r="AL296" s="104"/>
      <c r="AM296" s="141">
        <f t="shared" si="312"/>
        <v>36645.26</v>
      </c>
      <c r="AN296" s="104"/>
      <c r="AO296" s="141">
        <f t="shared" si="313"/>
        <v>34889.949999999997</v>
      </c>
      <c r="AP296" s="104"/>
      <c r="AQ296" s="142">
        <f t="shared" si="335"/>
        <v>0</v>
      </c>
      <c r="AR296" s="141">
        <f t="shared" si="314"/>
        <v>35718.379999999997</v>
      </c>
      <c r="AS296" s="104"/>
      <c r="AT296" s="142">
        <f>ROUND((AR296*AS296),2)</f>
        <v>0</v>
      </c>
      <c r="AU296" s="143">
        <f>AT296+AQ296+AJ296+AC296+X296+Q296+J296</f>
        <v>0</v>
      </c>
      <c r="AV296" s="104"/>
      <c r="AW296" s="141">
        <f t="shared" si="315"/>
        <v>65258.22</v>
      </c>
      <c r="AX296" s="104"/>
      <c r="AY296" s="141">
        <f t="shared" si="316"/>
        <v>81192.94</v>
      </c>
      <c r="AZ296" s="104"/>
      <c r="BA296" s="141">
        <f t="shared" si="317"/>
        <v>77353.2</v>
      </c>
      <c r="BB296" s="104"/>
      <c r="BC296" s="142">
        <f t="shared" si="336"/>
        <v>0</v>
      </c>
      <c r="BD296" s="141">
        <f t="shared" si="318"/>
        <v>77787.27</v>
      </c>
      <c r="BE296" s="104"/>
      <c r="BF296" s="141">
        <f t="shared" si="319"/>
        <v>96908.93</v>
      </c>
      <c r="BG296" s="104"/>
      <c r="BH296" s="142">
        <f>ROUND((BD296*BE296+BF296*BG296),2)</f>
        <v>0</v>
      </c>
      <c r="BI296" s="144">
        <f>BH296+BC296</f>
        <v>0</v>
      </c>
      <c r="BJ296" s="141">
        <f t="shared" si="320"/>
        <v>25708.01</v>
      </c>
      <c r="BK296" s="104"/>
      <c r="BL296" s="141">
        <f t="shared" si="321"/>
        <v>27763.9</v>
      </c>
      <c r="BM296" s="104">
        <v>14</v>
      </c>
      <c r="BN296" s="141">
        <f t="shared" si="322"/>
        <v>23851.91</v>
      </c>
      <c r="BO296" s="104">
        <v>15</v>
      </c>
      <c r="BP296" s="142">
        <f t="shared" si="337"/>
        <v>746473.25</v>
      </c>
      <c r="BQ296" s="141">
        <f t="shared" si="323"/>
        <v>42444.76</v>
      </c>
      <c r="BR296" s="104"/>
      <c r="BS296" s="141">
        <f t="shared" si="324"/>
        <v>46158.78</v>
      </c>
      <c r="BT296" s="400"/>
      <c r="BU296" s="141">
        <f t="shared" si="325"/>
        <v>39091.67</v>
      </c>
      <c r="BV296" s="400"/>
      <c r="BW296" s="142">
        <f t="shared" si="338"/>
        <v>0</v>
      </c>
      <c r="BX296" s="397">
        <f t="shared" si="339"/>
        <v>29</v>
      </c>
      <c r="BY296" s="117"/>
    </row>
    <row r="297" spans="1:79" s="193" customFormat="1" ht="35.25" customHeight="1">
      <c r="A297" s="173" t="s">
        <v>387</v>
      </c>
      <c r="B297" s="402" t="s">
        <v>637</v>
      </c>
      <c r="C297" s="403" t="s">
        <v>388</v>
      </c>
      <c r="D297" s="854">
        <f t="shared" si="298"/>
        <v>31250.82</v>
      </c>
      <c r="E297" s="404">
        <f>E293+E294+E295+E296</f>
        <v>262</v>
      </c>
      <c r="F297" s="854">
        <f t="shared" si="340"/>
        <v>38535.26</v>
      </c>
      <c r="G297" s="404">
        <f>G293+G294+G295+G296</f>
        <v>261</v>
      </c>
      <c r="H297" s="854">
        <f t="shared" si="299"/>
        <v>36779.949999999997</v>
      </c>
      <c r="I297" s="404">
        <f>I293+I294+I295+I296</f>
        <v>85</v>
      </c>
      <c r="J297" s="142">
        <f t="shared" si="331"/>
        <v>21371713.449999999</v>
      </c>
      <c r="K297" s="141">
        <f t="shared" si="300"/>
        <v>35546.49</v>
      </c>
      <c r="L297" s="404">
        <f>L293+L294+L295+L296</f>
        <v>0</v>
      </c>
      <c r="M297" s="141">
        <f t="shared" si="301"/>
        <v>43923.6</v>
      </c>
      <c r="N297" s="404">
        <f>N293+N294+N295+N296</f>
        <v>0</v>
      </c>
      <c r="O297" s="141">
        <f t="shared" si="302"/>
        <v>41904.99</v>
      </c>
      <c r="P297" s="347">
        <f>P293+P294+P295+P296</f>
        <v>0</v>
      </c>
      <c r="Q297" s="142">
        <f t="shared" si="332"/>
        <v>0</v>
      </c>
      <c r="R297" s="141">
        <f t="shared" si="303"/>
        <v>41274.050000000003</v>
      </c>
      <c r="S297" s="347">
        <f>S293+S294+S295+S296</f>
        <v>0</v>
      </c>
      <c r="T297" s="141">
        <f t="shared" si="304"/>
        <v>51108.05</v>
      </c>
      <c r="U297" s="347">
        <f>U293+U294+U295+U296</f>
        <v>0</v>
      </c>
      <c r="V297" s="141">
        <f t="shared" si="305"/>
        <v>48738.38</v>
      </c>
      <c r="W297" s="347">
        <f>W293+W294+W295+W296</f>
        <v>0</v>
      </c>
      <c r="X297" s="142">
        <f t="shared" si="333"/>
        <v>0</v>
      </c>
      <c r="Y297" s="141">
        <f t="shared" si="306"/>
        <v>45569.73</v>
      </c>
      <c r="Z297" s="347">
        <f>Z293+Z294+Z295+Z296</f>
        <v>0</v>
      </c>
      <c r="AA297" s="141">
        <f t="shared" si="307"/>
        <v>56496.39</v>
      </c>
      <c r="AB297" s="208">
        <f>AB293+AB294+AB295+AB296</f>
        <v>0</v>
      </c>
      <c r="AC297" s="208">
        <f>AC293+AC294+AC295+AC296</f>
        <v>0</v>
      </c>
      <c r="AD297" s="854">
        <f t="shared" si="308"/>
        <v>54161.08</v>
      </c>
      <c r="AE297" s="404">
        <f>AE293+AE294+AE295+AE296</f>
        <v>5</v>
      </c>
      <c r="AF297" s="854">
        <f t="shared" si="309"/>
        <v>67273.070000000007</v>
      </c>
      <c r="AG297" s="404">
        <f>AG293+AG294+AG295+AG296</f>
        <v>11</v>
      </c>
      <c r="AH297" s="854">
        <f t="shared" si="310"/>
        <v>64113.51</v>
      </c>
      <c r="AI297" s="404">
        <f>AI293+AI294+AI295+AI296</f>
        <v>0</v>
      </c>
      <c r="AJ297" s="142">
        <f t="shared" si="334"/>
        <v>1010809.17</v>
      </c>
      <c r="AK297" s="141">
        <f t="shared" si="311"/>
        <v>29360.82</v>
      </c>
      <c r="AL297" s="208">
        <f>AL293+AL294+AL295+AL296</f>
        <v>0</v>
      </c>
      <c r="AM297" s="141">
        <f t="shared" si="312"/>
        <v>36645.26</v>
      </c>
      <c r="AN297" s="208">
        <f>AN293+AN294+AN295+AN296</f>
        <v>0</v>
      </c>
      <c r="AO297" s="141">
        <f t="shared" si="313"/>
        <v>34889.949999999997</v>
      </c>
      <c r="AP297" s="208">
        <f>AP293+AP294+AP295+AP296</f>
        <v>0</v>
      </c>
      <c r="AQ297" s="142">
        <f t="shared" si="335"/>
        <v>0</v>
      </c>
      <c r="AR297" s="141">
        <f t="shared" si="314"/>
        <v>35718.379999999997</v>
      </c>
      <c r="AS297" s="208">
        <f>AS293+AS294+AS295+AS296</f>
        <v>0</v>
      </c>
      <c r="AT297" s="208">
        <f>AT293+AT294+AT295+AT296</f>
        <v>0</v>
      </c>
      <c r="AU297" s="407">
        <f>AU293+AU294+AU295+AU296</f>
        <v>22382522.619999997</v>
      </c>
      <c r="AV297" s="855">
        <f>'старое не смотреть'!D376</f>
        <v>32604079.829999998</v>
      </c>
      <c r="AW297" s="141">
        <f t="shared" si="315"/>
        <v>65258.22</v>
      </c>
      <c r="AX297" s="208">
        <f>AX293+AX294+AX295+AX296</f>
        <v>0</v>
      </c>
      <c r="AY297" s="141">
        <f t="shared" si="316"/>
        <v>81192.94</v>
      </c>
      <c r="AZ297" s="208">
        <f>AZ293+AZ294+AZ295+AZ296</f>
        <v>0</v>
      </c>
      <c r="BA297" s="141">
        <f t="shared" si="317"/>
        <v>77353.2</v>
      </c>
      <c r="BB297" s="208">
        <f>BB293+BB294+BB295+BB296</f>
        <v>0</v>
      </c>
      <c r="BC297" s="142">
        <f t="shared" si="336"/>
        <v>0</v>
      </c>
      <c r="BD297" s="141">
        <f t="shared" si="318"/>
        <v>77787.27</v>
      </c>
      <c r="BE297" s="208">
        <f>BE293+BE294+BE295+BE296</f>
        <v>0</v>
      </c>
      <c r="BF297" s="141">
        <f t="shared" si="319"/>
        <v>96908.93</v>
      </c>
      <c r="BG297" s="208">
        <f>BG293+BG294+BG295+BG296</f>
        <v>0</v>
      </c>
      <c r="BH297" s="208">
        <f>BH293+BH294+BH295+BH296</f>
        <v>0</v>
      </c>
      <c r="BI297" s="208">
        <f>BI293+BI294+BI295+BI296</f>
        <v>0</v>
      </c>
      <c r="BJ297" s="141">
        <f t="shared" si="320"/>
        <v>25708.01</v>
      </c>
      <c r="BK297" s="208">
        <f>BK293+BK294+BK295+BK296</f>
        <v>0</v>
      </c>
      <c r="BL297" s="141">
        <f t="shared" si="321"/>
        <v>27763.9</v>
      </c>
      <c r="BM297" s="208">
        <f>BM293+BM294+BM295+BM296</f>
        <v>14</v>
      </c>
      <c r="BN297" s="141">
        <f t="shared" si="322"/>
        <v>23851.91</v>
      </c>
      <c r="BO297" s="208">
        <f>BO293+BO294+BO295+BO296</f>
        <v>15</v>
      </c>
      <c r="BP297" s="142">
        <f t="shared" si="337"/>
        <v>746473.25</v>
      </c>
      <c r="BQ297" s="141">
        <f t="shared" si="323"/>
        <v>42444.76</v>
      </c>
      <c r="BR297" s="208">
        <f>BR293+BR294+BR295+BR296</f>
        <v>0</v>
      </c>
      <c r="BS297" s="141">
        <f t="shared" si="324"/>
        <v>46158.78</v>
      </c>
      <c r="BT297" s="404">
        <f>BT293+BT294+BT295+BT296</f>
        <v>0</v>
      </c>
      <c r="BU297" s="141">
        <f t="shared" si="325"/>
        <v>39091.67</v>
      </c>
      <c r="BV297" s="404">
        <f>BV293+BV294+BV295+BV296</f>
        <v>0</v>
      </c>
      <c r="BW297" s="142">
        <f t="shared" si="338"/>
        <v>0</v>
      </c>
      <c r="BX297" s="405">
        <f t="shared" si="339"/>
        <v>653</v>
      </c>
      <c r="BY297" s="192"/>
    </row>
    <row r="298" spans="1:79" s="159" customFormat="1" ht="35.25" customHeight="1">
      <c r="A298" s="198" t="s">
        <v>389</v>
      </c>
      <c r="B298" s="402" t="s">
        <v>314</v>
      </c>
      <c r="C298" s="403" t="s">
        <v>388</v>
      </c>
      <c r="D298" s="854">
        <f t="shared" si="298"/>
        <v>31250.82</v>
      </c>
      <c r="E298" s="404">
        <v>329</v>
      </c>
      <c r="F298" s="854">
        <f t="shared" si="340"/>
        <v>38535.26</v>
      </c>
      <c r="G298" s="404">
        <v>376</v>
      </c>
      <c r="H298" s="854">
        <f t="shared" si="299"/>
        <v>36779.949999999997</v>
      </c>
      <c r="I298" s="404">
        <v>105</v>
      </c>
      <c r="J298" s="142">
        <f t="shared" si="331"/>
        <v>28632672.289999999</v>
      </c>
      <c r="K298" s="141">
        <f t="shared" si="300"/>
        <v>35546.49</v>
      </c>
      <c r="L298" s="404"/>
      <c r="M298" s="141">
        <f t="shared" si="301"/>
        <v>43923.6</v>
      </c>
      <c r="N298" s="404"/>
      <c r="O298" s="141">
        <f t="shared" si="302"/>
        <v>41904.99</v>
      </c>
      <c r="P298" s="406"/>
      <c r="Q298" s="142">
        <f t="shared" si="332"/>
        <v>0</v>
      </c>
      <c r="R298" s="141">
        <f t="shared" si="303"/>
        <v>41274.050000000003</v>
      </c>
      <c r="S298" s="406"/>
      <c r="T298" s="141">
        <f t="shared" si="304"/>
        <v>51108.05</v>
      </c>
      <c r="U298" s="406"/>
      <c r="V298" s="141">
        <f t="shared" si="305"/>
        <v>48738.38</v>
      </c>
      <c r="W298" s="406"/>
      <c r="X298" s="142">
        <f t="shared" si="333"/>
        <v>0</v>
      </c>
      <c r="Y298" s="141">
        <f t="shared" si="306"/>
        <v>45569.73</v>
      </c>
      <c r="Z298" s="406"/>
      <c r="AA298" s="141">
        <f t="shared" si="307"/>
        <v>56496.39</v>
      </c>
      <c r="AB298" s="202"/>
      <c r="AC298" s="142">
        <f>ROUND((Y298*Z298+AA298*AB298),2)</f>
        <v>0</v>
      </c>
      <c r="AD298" s="854">
        <f t="shared" si="308"/>
        <v>54161.08</v>
      </c>
      <c r="AE298" s="404">
        <v>1</v>
      </c>
      <c r="AF298" s="854">
        <f t="shared" si="309"/>
        <v>67273.070000000007</v>
      </c>
      <c r="AG298" s="404">
        <v>4</v>
      </c>
      <c r="AH298" s="854">
        <f t="shared" si="310"/>
        <v>64113.51</v>
      </c>
      <c r="AI298" s="404"/>
      <c r="AJ298" s="142">
        <f t="shared" si="334"/>
        <v>323253.36</v>
      </c>
      <c r="AK298" s="141">
        <f t="shared" si="311"/>
        <v>29360.82</v>
      </c>
      <c r="AL298" s="203"/>
      <c r="AM298" s="141">
        <f t="shared" si="312"/>
        <v>36645.26</v>
      </c>
      <c r="AN298" s="203"/>
      <c r="AO298" s="141">
        <f t="shared" si="313"/>
        <v>34889.949999999997</v>
      </c>
      <c r="AP298" s="203"/>
      <c r="AQ298" s="142">
        <f t="shared" si="335"/>
        <v>0</v>
      </c>
      <c r="AR298" s="141">
        <f t="shared" si="314"/>
        <v>35718.379999999997</v>
      </c>
      <c r="AS298" s="208"/>
      <c r="AT298" s="142">
        <f>ROUND((AR298*AS298),2)</f>
        <v>0</v>
      </c>
      <c r="AU298" s="143">
        <f>AT298+AQ298+AJ298+AC298+X298+Q298+J298</f>
        <v>28955925.649999999</v>
      </c>
      <c r="AV298" s="407">
        <f>AU298</f>
        <v>28955925.649999999</v>
      </c>
      <c r="AW298" s="141">
        <f t="shared" si="315"/>
        <v>65258.22</v>
      </c>
      <c r="AX298" s="385"/>
      <c r="AY298" s="141">
        <f t="shared" si="316"/>
        <v>81192.94</v>
      </c>
      <c r="AZ298" s="385"/>
      <c r="BA298" s="141">
        <f t="shared" si="317"/>
        <v>77353.2</v>
      </c>
      <c r="BB298" s="202"/>
      <c r="BC298" s="142">
        <f t="shared" si="336"/>
        <v>0</v>
      </c>
      <c r="BD298" s="141">
        <f t="shared" si="318"/>
        <v>77787.27</v>
      </c>
      <c r="BE298" s="202"/>
      <c r="BF298" s="141">
        <f t="shared" si="319"/>
        <v>96908.93</v>
      </c>
      <c r="BG298" s="202"/>
      <c r="BH298" s="142">
        <f>ROUND((BD298*BE298+BF298*BG298),2)</f>
        <v>0</v>
      </c>
      <c r="BI298" s="144">
        <f>BH298+BC298</f>
        <v>0</v>
      </c>
      <c r="BJ298" s="141">
        <f t="shared" si="320"/>
        <v>25708.01</v>
      </c>
      <c r="BK298" s="202"/>
      <c r="BL298" s="141">
        <f t="shared" si="321"/>
        <v>27763.9</v>
      </c>
      <c r="BM298" s="202"/>
      <c r="BN298" s="141">
        <f t="shared" si="322"/>
        <v>23851.91</v>
      </c>
      <c r="BO298" s="202"/>
      <c r="BP298" s="142">
        <f t="shared" si="337"/>
        <v>0</v>
      </c>
      <c r="BQ298" s="141">
        <f t="shared" si="323"/>
        <v>42444.76</v>
      </c>
      <c r="BR298" s="202"/>
      <c r="BS298" s="141">
        <f t="shared" si="324"/>
        <v>46158.78</v>
      </c>
      <c r="BT298" s="404"/>
      <c r="BU298" s="141">
        <f t="shared" si="325"/>
        <v>39091.67</v>
      </c>
      <c r="BV298" s="404"/>
      <c r="BW298" s="142">
        <f t="shared" si="338"/>
        <v>0</v>
      </c>
      <c r="BX298" s="405">
        <f t="shared" si="339"/>
        <v>815</v>
      </c>
      <c r="BY298" s="158"/>
    </row>
    <row r="299" spans="1:79" s="159" customFormat="1" ht="35.25" customHeight="1">
      <c r="A299" s="198" t="s">
        <v>393</v>
      </c>
      <c r="B299" s="402" t="s">
        <v>301</v>
      </c>
      <c r="C299" s="403" t="s">
        <v>388</v>
      </c>
      <c r="D299" s="854">
        <f t="shared" si="298"/>
        <v>31250.82</v>
      </c>
      <c r="E299" s="404">
        <v>130</v>
      </c>
      <c r="F299" s="854">
        <f t="shared" si="340"/>
        <v>38535.26</v>
      </c>
      <c r="G299" s="404">
        <v>148</v>
      </c>
      <c r="H299" s="854">
        <f t="shared" si="299"/>
        <v>36779.949999999997</v>
      </c>
      <c r="I299" s="404">
        <v>25</v>
      </c>
      <c r="J299" s="142">
        <f t="shared" si="331"/>
        <v>10685323.83</v>
      </c>
      <c r="K299" s="141">
        <f t="shared" si="300"/>
        <v>35546.49</v>
      </c>
      <c r="L299" s="404"/>
      <c r="M299" s="141">
        <f t="shared" si="301"/>
        <v>43923.6</v>
      </c>
      <c r="N299" s="404"/>
      <c r="O299" s="141">
        <f t="shared" si="302"/>
        <v>41904.99</v>
      </c>
      <c r="P299" s="406"/>
      <c r="Q299" s="142">
        <f t="shared" si="332"/>
        <v>0</v>
      </c>
      <c r="R299" s="141">
        <f t="shared" si="303"/>
        <v>41274.050000000003</v>
      </c>
      <c r="S299" s="406"/>
      <c r="T299" s="141">
        <f t="shared" si="304"/>
        <v>51108.05</v>
      </c>
      <c r="U299" s="406"/>
      <c r="V299" s="141">
        <f t="shared" si="305"/>
        <v>48738.38</v>
      </c>
      <c r="W299" s="406"/>
      <c r="X299" s="142">
        <f t="shared" si="333"/>
        <v>0</v>
      </c>
      <c r="Y299" s="141">
        <f t="shared" si="306"/>
        <v>45569.73</v>
      </c>
      <c r="Z299" s="406"/>
      <c r="AA299" s="141">
        <f t="shared" si="307"/>
        <v>56496.39</v>
      </c>
      <c r="AB299" s="202"/>
      <c r="AC299" s="142">
        <f>ROUND((Y299*Z299+AA299*AB299),2)</f>
        <v>0</v>
      </c>
      <c r="AD299" s="854">
        <f t="shared" si="308"/>
        <v>54161.08</v>
      </c>
      <c r="AE299" s="404">
        <v>1</v>
      </c>
      <c r="AF299" s="854">
        <f t="shared" si="309"/>
        <v>67273.070000000007</v>
      </c>
      <c r="AG299" s="404">
        <v>3</v>
      </c>
      <c r="AH299" s="854">
        <f t="shared" si="310"/>
        <v>64113.51</v>
      </c>
      <c r="AI299" s="404"/>
      <c r="AJ299" s="142">
        <f t="shared" si="334"/>
        <v>255980.29</v>
      </c>
      <c r="AK299" s="141">
        <f t="shared" si="311"/>
        <v>29360.82</v>
      </c>
      <c r="AL299" s="203"/>
      <c r="AM299" s="141">
        <f t="shared" si="312"/>
        <v>36645.26</v>
      </c>
      <c r="AN299" s="203"/>
      <c r="AO299" s="141">
        <f t="shared" si="313"/>
        <v>34889.949999999997</v>
      </c>
      <c r="AP299" s="203"/>
      <c r="AQ299" s="142">
        <f t="shared" si="335"/>
        <v>0</v>
      </c>
      <c r="AR299" s="141">
        <f t="shared" si="314"/>
        <v>35718.379999999997</v>
      </c>
      <c r="AS299" s="208"/>
      <c r="AT299" s="142">
        <f>ROUND((AR299*AS299),2)</f>
        <v>0</v>
      </c>
      <c r="AU299" s="143">
        <f>AT299+AQ299+AJ299+AC299+X299+Q299+J299</f>
        <v>10941304.119999999</v>
      </c>
      <c r="AV299" s="407">
        <f>AU299</f>
        <v>10941304.119999999</v>
      </c>
      <c r="AW299" s="141">
        <f t="shared" si="315"/>
        <v>65258.22</v>
      </c>
      <c r="AX299" s="385"/>
      <c r="AY299" s="141">
        <f t="shared" si="316"/>
        <v>81192.94</v>
      </c>
      <c r="AZ299" s="158"/>
      <c r="BA299" s="141">
        <f t="shared" si="317"/>
        <v>77353.2</v>
      </c>
      <c r="BB299" s="202"/>
      <c r="BC299" s="142">
        <f t="shared" si="336"/>
        <v>0</v>
      </c>
      <c r="BD299" s="141">
        <f t="shared" si="318"/>
        <v>77787.27</v>
      </c>
      <c r="BE299" s="202"/>
      <c r="BF299" s="141">
        <f t="shared" si="319"/>
        <v>96908.93</v>
      </c>
      <c r="BG299" s="202"/>
      <c r="BH299" s="142">
        <f>ROUND((BD299*BE299+BF299*BG299),2)</f>
        <v>0</v>
      </c>
      <c r="BI299" s="144">
        <f>BH299+BC299</f>
        <v>0</v>
      </c>
      <c r="BJ299" s="141">
        <f t="shared" si="320"/>
        <v>25708.01</v>
      </c>
      <c r="BK299" s="202"/>
      <c r="BL299" s="141">
        <f t="shared" si="321"/>
        <v>27763.9</v>
      </c>
      <c r="BM299" s="202"/>
      <c r="BN299" s="141">
        <f t="shared" si="322"/>
        <v>23851.91</v>
      </c>
      <c r="BO299" s="202"/>
      <c r="BP299" s="142">
        <f t="shared" si="337"/>
        <v>0</v>
      </c>
      <c r="BQ299" s="141">
        <f t="shared" si="323"/>
        <v>42444.76</v>
      </c>
      <c r="BR299" s="202"/>
      <c r="BS299" s="141">
        <f t="shared" si="324"/>
        <v>46158.78</v>
      </c>
      <c r="BT299" s="404"/>
      <c r="BU299" s="141">
        <f t="shared" si="325"/>
        <v>39091.67</v>
      </c>
      <c r="BV299" s="404"/>
      <c r="BW299" s="142">
        <f t="shared" si="338"/>
        <v>0</v>
      </c>
      <c r="BX299" s="405">
        <f t="shared" si="339"/>
        <v>307</v>
      </c>
      <c r="BY299" s="158"/>
    </row>
    <row r="300" spans="1:79" s="116" customFormat="1" ht="35.25" customHeight="1">
      <c r="A300" s="122"/>
      <c r="B300" s="392" t="s">
        <v>302</v>
      </c>
      <c r="C300" s="332" t="s">
        <v>388</v>
      </c>
      <c r="D300" s="854">
        <f t="shared" si="298"/>
        <v>31250.82</v>
      </c>
      <c r="E300" s="393">
        <v>412</v>
      </c>
      <c r="F300" s="854">
        <f t="shared" si="340"/>
        <v>38535.26</v>
      </c>
      <c r="G300" s="393">
        <v>425</v>
      </c>
      <c r="H300" s="854">
        <f t="shared" si="299"/>
        <v>36779.949999999997</v>
      </c>
      <c r="I300" s="393">
        <v>115</v>
      </c>
      <c r="J300" s="142">
        <f t="shared" si="331"/>
        <v>33482517.59</v>
      </c>
      <c r="K300" s="141">
        <f t="shared" si="300"/>
        <v>35546.49</v>
      </c>
      <c r="L300" s="393"/>
      <c r="M300" s="141">
        <f t="shared" si="301"/>
        <v>43923.6</v>
      </c>
      <c r="N300" s="393"/>
      <c r="O300" s="141">
        <f t="shared" si="302"/>
        <v>41904.99</v>
      </c>
      <c r="P300" s="408"/>
      <c r="Q300" s="142">
        <f t="shared" si="332"/>
        <v>0</v>
      </c>
      <c r="R300" s="141">
        <f t="shared" si="303"/>
        <v>41274.050000000003</v>
      </c>
      <c r="S300" s="408"/>
      <c r="T300" s="141">
        <f t="shared" si="304"/>
        <v>51108.05</v>
      </c>
      <c r="U300" s="408"/>
      <c r="V300" s="141">
        <f t="shared" si="305"/>
        <v>48738.38</v>
      </c>
      <c r="W300" s="401"/>
      <c r="X300" s="142">
        <f t="shared" si="333"/>
        <v>0</v>
      </c>
      <c r="Y300" s="141">
        <f t="shared" si="306"/>
        <v>45569.73</v>
      </c>
      <c r="Z300" s="401"/>
      <c r="AA300" s="141">
        <f t="shared" si="307"/>
        <v>56496.39</v>
      </c>
      <c r="AB300" s="104"/>
      <c r="AC300" s="142">
        <f>ROUND((Y300*Z300+AA300*AB300),2)</f>
        <v>0</v>
      </c>
      <c r="AD300" s="854">
        <f t="shared" si="308"/>
        <v>54161.08</v>
      </c>
      <c r="AE300" s="393">
        <v>4</v>
      </c>
      <c r="AF300" s="854">
        <f t="shared" si="309"/>
        <v>67273.070000000007</v>
      </c>
      <c r="AG300" s="393">
        <v>4</v>
      </c>
      <c r="AH300" s="854">
        <f t="shared" si="310"/>
        <v>64113.51</v>
      </c>
      <c r="AI300" s="393"/>
      <c r="AJ300" s="142">
        <f t="shared" si="334"/>
        <v>485736.6</v>
      </c>
      <c r="AK300" s="141">
        <f t="shared" si="311"/>
        <v>29360.82</v>
      </c>
      <c r="AL300" s="104"/>
      <c r="AM300" s="141">
        <f t="shared" si="312"/>
        <v>36645.26</v>
      </c>
      <c r="AN300" s="104"/>
      <c r="AO300" s="141">
        <f t="shared" si="313"/>
        <v>34889.949999999997</v>
      </c>
      <c r="AP300" s="104"/>
      <c r="AQ300" s="142">
        <f t="shared" si="335"/>
        <v>0</v>
      </c>
      <c r="AR300" s="141">
        <f t="shared" si="314"/>
        <v>35718.379999999997</v>
      </c>
      <c r="AS300" s="104"/>
      <c r="AT300" s="142">
        <f>ROUND((AR300*AS300),2)</f>
        <v>0</v>
      </c>
      <c r="AU300" s="143">
        <f>AT300+AQ300+AJ300+AC300+X300+Q300+J300</f>
        <v>33968254.189999998</v>
      </c>
      <c r="AV300" s="104"/>
      <c r="AW300" s="141">
        <f t="shared" si="315"/>
        <v>65258.22</v>
      </c>
      <c r="AX300" s="104"/>
      <c r="AY300" s="141">
        <f t="shared" si="316"/>
        <v>81192.94</v>
      </c>
      <c r="AZ300" s="104"/>
      <c r="BA300" s="141">
        <f t="shared" si="317"/>
        <v>77353.2</v>
      </c>
      <c r="BB300" s="104"/>
      <c r="BC300" s="142">
        <f t="shared" si="336"/>
        <v>0</v>
      </c>
      <c r="BD300" s="141">
        <f t="shared" si="318"/>
        <v>77787.27</v>
      </c>
      <c r="BE300" s="104"/>
      <c r="BF300" s="141">
        <f t="shared" si="319"/>
        <v>96908.93</v>
      </c>
      <c r="BG300" s="104"/>
      <c r="BH300" s="142">
        <f>ROUND((BD300*BE300+BF300*BG300),2)</f>
        <v>0</v>
      </c>
      <c r="BI300" s="144">
        <f>BH300+BC300</f>
        <v>0</v>
      </c>
      <c r="BJ300" s="141">
        <f t="shared" si="320"/>
        <v>25708.01</v>
      </c>
      <c r="BK300" s="104"/>
      <c r="BL300" s="141">
        <f t="shared" si="321"/>
        <v>27763.9</v>
      </c>
      <c r="BM300" s="104"/>
      <c r="BN300" s="141">
        <f t="shared" si="322"/>
        <v>23851.91</v>
      </c>
      <c r="BO300" s="104"/>
      <c r="BP300" s="142">
        <f t="shared" si="337"/>
        <v>0</v>
      </c>
      <c r="BQ300" s="141">
        <f t="shared" si="323"/>
        <v>42444.76</v>
      </c>
      <c r="BR300" s="104"/>
      <c r="BS300" s="141">
        <f t="shared" si="324"/>
        <v>46158.78</v>
      </c>
      <c r="BT300" s="393"/>
      <c r="BU300" s="141">
        <f t="shared" si="325"/>
        <v>39091.67</v>
      </c>
      <c r="BV300" s="393"/>
      <c r="BW300" s="142">
        <f t="shared" si="338"/>
        <v>0</v>
      </c>
      <c r="BX300" s="397">
        <f t="shared" si="339"/>
        <v>960</v>
      </c>
      <c r="BY300" s="117"/>
    </row>
    <row r="301" spans="1:79" s="116" customFormat="1" ht="35.25" hidden="1" customHeight="1">
      <c r="A301" s="122"/>
      <c r="B301" s="409"/>
      <c r="C301" s="332" t="s">
        <v>388</v>
      </c>
      <c r="D301" s="854">
        <f t="shared" si="298"/>
        <v>31250.82</v>
      </c>
      <c r="E301" s="410"/>
      <c r="F301" s="854">
        <f t="shared" si="340"/>
        <v>38535.26</v>
      </c>
      <c r="G301" s="410"/>
      <c r="H301" s="854">
        <f t="shared" si="299"/>
        <v>36779.949999999997</v>
      </c>
      <c r="I301" s="410"/>
      <c r="J301" s="142">
        <f t="shared" si="331"/>
        <v>0</v>
      </c>
      <c r="K301" s="141">
        <f t="shared" si="300"/>
        <v>35546.49</v>
      </c>
      <c r="L301" s="410"/>
      <c r="M301" s="141">
        <f t="shared" si="301"/>
        <v>43923.6</v>
      </c>
      <c r="N301" s="410"/>
      <c r="O301" s="141">
        <f t="shared" si="302"/>
        <v>41904.99</v>
      </c>
      <c r="P301" s="410"/>
      <c r="Q301" s="142">
        <f t="shared" si="332"/>
        <v>0</v>
      </c>
      <c r="R301" s="141">
        <f t="shared" si="303"/>
        <v>41274.050000000003</v>
      </c>
      <c r="S301" s="410"/>
      <c r="T301" s="141">
        <f t="shared" si="304"/>
        <v>51108.05</v>
      </c>
      <c r="U301" s="410"/>
      <c r="V301" s="141">
        <f t="shared" si="305"/>
        <v>48738.38</v>
      </c>
      <c r="W301" s="410"/>
      <c r="X301" s="142">
        <f t="shared" si="333"/>
        <v>0</v>
      </c>
      <c r="Y301" s="141">
        <f t="shared" si="306"/>
        <v>45569.73</v>
      </c>
      <c r="Z301" s="411"/>
      <c r="AA301" s="141">
        <f t="shared" si="307"/>
        <v>56496.39</v>
      </c>
      <c r="AB301" s="111"/>
      <c r="AC301" s="142">
        <f>ROUND((Y301*Z301+AA301*AB301),2)</f>
        <v>0</v>
      </c>
      <c r="AD301" s="854">
        <f t="shared" si="308"/>
        <v>54161.08</v>
      </c>
      <c r="AE301" s="410"/>
      <c r="AF301" s="854">
        <f t="shared" si="309"/>
        <v>67273.070000000007</v>
      </c>
      <c r="AG301" s="410"/>
      <c r="AH301" s="854">
        <f t="shared" si="310"/>
        <v>64113.51</v>
      </c>
      <c r="AI301" s="410"/>
      <c r="AJ301" s="142">
        <f t="shared" si="334"/>
        <v>0</v>
      </c>
      <c r="AK301" s="141">
        <f t="shared" si="311"/>
        <v>29360.82</v>
      </c>
      <c r="AL301" s="113"/>
      <c r="AM301" s="141">
        <f t="shared" si="312"/>
        <v>36645.26</v>
      </c>
      <c r="AN301" s="113"/>
      <c r="AO301" s="141">
        <f t="shared" si="313"/>
        <v>34889.949999999997</v>
      </c>
      <c r="AP301" s="113"/>
      <c r="AQ301" s="142">
        <f t="shared" si="335"/>
        <v>0</v>
      </c>
      <c r="AR301" s="141">
        <f t="shared" si="314"/>
        <v>35718.379999999997</v>
      </c>
      <c r="AS301" s="114"/>
      <c r="AT301" s="142">
        <f>ROUND((AR301*AS301),2)</f>
        <v>0</v>
      </c>
      <c r="AU301" s="143">
        <f>AT301+AQ301+AJ301+AC301+X301+Q301+J301</f>
        <v>0</v>
      </c>
      <c r="AV301" s="541"/>
      <c r="AW301" s="141">
        <f t="shared" si="315"/>
        <v>65258.22</v>
      </c>
      <c r="AX301" s="112"/>
      <c r="AY301" s="141">
        <f t="shared" si="316"/>
        <v>81192.94</v>
      </c>
      <c r="AZ301" s="112"/>
      <c r="BA301" s="141">
        <f t="shared" si="317"/>
        <v>77353.2</v>
      </c>
      <c r="BB301" s="112"/>
      <c r="BC301" s="142">
        <f t="shared" si="336"/>
        <v>0</v>
      </c>
      <c r="BD301" s="141">
        <f t="shared" si="318"/>
        <v>77787.27</v>
      </c>
      <c r="BE301" s="111"/>
      <c r="BF301" s="141">
        <f t="shared" si="319"/>
        <v>96908.93</v>
      </c>
      <c r="BG301" s="111"/>
      <c r="BH301" s="142">
        <f>ROUND((BD301*BE301+BF301*BG301),2)</f>
        <v>0</v>
      </c>
      <c r="BI301" s="144">
        <f>BH301+BC301</f>
        <v>0</v>
      </c>
      <c r="BJ301" s="141">
        <f t="shared" si="320"/>
        <v>25708.01</v>
      </c>
      <c r="BK301" s="111"/>
      <c r="BL301" s="141">
        <f t="shared" si="321"/>
        <v>27763.9</v>
      </c>
      <c r="BM301" s="111"/>
      <c r="BN301" s="141">
        <f t="shared" si="322"/>
        <v>23851.91</v>
      </c>
      <c r="BO301" s="111"/>
      <c r="BP301" s="142">
        <f t="shared" si="337"/>
        <v>0</v>
      </c>
      <c r="BQ301" s="141">
        <f t="shared" si="323"/>
        <v>42444.76</v>
      </c>
      <c r="BR301" s="111"/>
      <c r="BS301" s="141">
        <f t="shared" si="324"/>
        <v>46158.78</v>
      </c>
      <c r="BT301" s="410"/>
      <c r="BU301" s="141">
        <f t="shared" si="325"/>
        <v>39091.67</v>
      </c>
      <c r="BV301" s="410"/>
      <c r="BW301" s="142">
        <f t="shared" si="338"/>
        <v>0</v>
      </c>
      <c r="BX301" s="397">
        <f t="shared" si="339"/>
        <v>0</v>
      </c>
      <c r="BY301" s="117"/>
    </row>
    <row r="302" spans="1:79" s="193" customFormat="1" ht="35.25" customHeight="1">
      <c r="A302" s="190" t="s">
        <v>396</v>
      </c>
      <c r="B302" s="402" t="s">
        <v>638</v>
      </c>
      <c r="C302" s="403" t="s">
        <v>388</v>
      </c>
      <c r="D302" s="854">
        <f t="shared" si="298"/>
        <v>31250.82</v>
      </c>
      <c r="E302" s="404">
        <f>E301+E300</f>
        <v>412</v>
      </c>
      <c r="F302" s="854">
        <f t="shared" si="340"/>
        <v>38535.26</v>
      </c>
      <c r="G302" s="404">
        <f>G301+G300</f>
        <v>425</v>
      </c>
      <c r="H302" s="854">
        <f t="shared" si="299"/>
        <v>36779.949999999997</v>
      </c>
      <c r="I302" s="404">
        <f>I301+I300</f>
        <v>115</v>
      </c>
      <c r="J302" s="347">
        <f>J301+J300</f>
        <v>33482517.59</v>
      </c>
      <c r="K302" s="141">
        <f t="shared" si="300"/>
        <v>35546.49</v>
      </c>
      <c r="L302" s="404">
        <f>L301+L300</f>
        <v>0</v>
      </c>
      <c r="M302" s="141">
        <f t="shared" si="301"/>
        <v>43923.6</v>
      </c>
      <c r="N302" s="404">
        <f>N301+N300</f>
        <v>0</v>
      </c>
      <c r="O302" s="141">
        <f t="shared" si="302"/>
        <v>41904.99</v>
      </c>
      <c r="P302" s="347">
        <f>P301+P300</f>
        <v>0</v>
      </c>
      <c r="Q302" s="347">
        <f>Q301+Q300</f>
        <v>0</v>
      </c>
      <c r="R302" s="141">
        <f t="shared" si="303"/>
        <v>41274.050000000003</v>
      </c>
      <c r="S302" s="347">
        <f>S301+S300</f>
        <v>0</v>
      </c>
      <c r="T302" s="141">
        <f t="shared" si="304"/>
        <v>51108.05</v>
      </c>
      <c r="U302" s="347">
        <f>U301+U300</f>
        <v>0</v>
      </c>
      <c r="V302" s="141">
        <f t="shared" si="305"/>
        <v>48738.38</v>
      </c>
      <c r="W302" s="347">
        <f>W301+W300</f>
        <v>0</v>
      </c>
      <c r="X302" s="347">
        <f>X301+X300</f>
        <v>0</v>
      </c>
      <c r="Y302" s="141">
        <f t="shared" si="306"/>
        <v>45569.73</v>
      </c>
      <c r="Z302" s="347">
        <f>Z301+Z300</f>
        <v>0</v>
      </c>
      <c r="AA302" s="141">
        <f t="shared" si="307"/>
        <v>56496.39</v>
      </c>
      <c r="AB302" s="208">
        <f>AB301+AB300</f>
        <v>0</v>
      </c>
      <c r="AC302" s="208">
        <f>AC301+AC300</f>
        <v>0</v>
      </c>
      <c r="AD302" s="854">
        <f t="shared" si="308"/>
        <v>54161.08</v>
      </c>
      <c r="AE302" s="404">
        <f>AE301+AE300</f>
        <v>4</v>
      </c>
      <c r="AF302" s="854">
        <f t="shared" si="309"/>
        <v>67273.070000000007</v>
      </c>
      <c r="AG302" s="404">
        <f>AG301+AG300</f>
        <v>4</v>
      </c>
      <c r="AH302" s="854">
        <f t="shared" si="310"/>
        <v>64113.51</v>
      </c>
      <c r="AI302" s="404">
        <f>AI301+AI300</f>
        <v>0</v>
      </c>
      <c r="AJ302" s="347">
        <f>AJ301+AJ300</f>
        <v>485736.6</v>
      </c>
      <c r="AK302" s="141">
        <f t="shared" si="311"/>
        <v>29360.82</v>
      </c>
      <c r="AL302" s="208">
        <f>AL301+AL300</f>
        <v>0</v>
      </c>
      <c r="AM302" s="141">
        <f t="shared" si="312"/>
        <v>36645.26</v>
      </c>
      <c r="AN302" s="208">
        <f>AN301+AN300</f>
        <v>0</v>
      </c>
      <c r="AO302" s="141">
        <f t="shared" si="313"/>
        <v>34889.949999999997</v>
      </c>
      <c r="AP302" s="208">
        <f>AP301+AP300</f>
        <v>0</v>
      </c>
      <c r="AQ302" s="347">
        <f>AQ301+AQ300</f>
        <v>0</v>
      </c>
      <c r="AR302" s="141">
        <f t="shared" si="314"/>
        <v>35718.379999999997</v>
      </c>
      <c r="AS302" s="208">
        <f>AS301+AS300</f>
        <v>0</v>
      </c>
      <c r="AT302" s="208">
        <f>AT301+AT300</f>
        <v>0</v>
      </c>
      <c r="AU302" s="407">
        <f>AU301+AU300</f>
        <v>33968254.189999998</v>
      </c>
      <c r="AV302" s="855">
        <f>AU302</f>
        <v>33968254.189999998</v>
      </c>
      <c r="AW302" s="141">
        <f t="shared" si="315"/>
        <v>65258.22</v>
      </c>
      <c r="AX302" s="208">
        <f>AX301+AX300</f>
        <v>0</v>
      </c>
      <c r="AY302" s="141">
        <f t="shared" si="316"/>
        <v>81192.94</v>
      </c>
      <c r="AZ302" s="208">
        <f>AZ301+AZ300</f>
        <v>0</v>
      </c>
      <c r="BA302" s="141">
        <f t="shared" si="317"/>
        <v>77353.2</v>
      </c>
      <c r="BB302" s="208">
        <f>BB301+BB300</f>
        <v>0</v>
      </c>
      <c r="BC302" s="347">
        <f>BC301+BC300</f>
        <v>0</v>
      </c>
      <c r="BD302" s="141">
        <f t="shared" si="318"/>
        <v>77787.27</v>
      </c>
      <c r="BE302" s="208">
        <f>BE301+BE300</f>
        <v>0</v>
      </c>
      <c r="BF302" s="141">
        <f t="shared" si="319"/>
        <v>96908.93</v>
      </c>
      <c r="BG302" s="208">
        <f>BG301+BG300</f>
        <v>0</v>
      </c>
      <c r="BH302" s="208">
        <f>BH301+BH300</f>
        <v>0</v>
      </c>
      <c r="BI302" s="208">
        <f>BI301+BI300</f>
        <v>0</v>
      </c>
      <c r="BJ302" s="141">
        <f t="shared" si="320"/>
        <v>25708.01</v>
      </c>
      <c r="BK302" s="208">
        <f>BK301+BK300</f>
        <v>0</v>
      </c>
      <c r="BL302" s="141">
        <f t="shared" si="321"/>
        <v>27763.9</v>
      </c>
      <c r="BM302" s="208">
        <f>BM301+BM300</f>
        <v>0</v>
      </c>
      <c r="BN302" s="141">
        <f t="shared" si="322"/>
        <v>23851.91</v>
      </c>
      <c r="BO302" s="208">
        <f>BO301+BO300</f>
        <v>0</v>
      </c>
      <c r="BP302" s="347">
        <f>BP301+BP300</f>
        <v>0</v>
      </c>
      <c r="BQ302" s="141">
        <f t="shared" si="323"/>
        <v>42444.76</v>
      </c>
      <c r="BR302" s="208">
        <f>BR301+BR300</f>
        <v>0</v>
      </c>
      <c r="BS302" s="141">
        <f t="shared" si="324"/>
        <v>46158.78</v>
      </c>
      <c r="BT302" s="404">
        <f>BT301+BT300</f>
        <v>0</v>
      </c>
      <c r="BU302" s="141">
        <f t="shared" si="325"/>
        <v>39091.67</v>
      </c>
      <c r="BV302" s="404">
        <f>BV301+BV300</f>
        <v>0</v>
      </c>
      <c r="BW302" s="347">
        <f>BW301+BW300</f>
        <v>0</v>
      </c>
      <c r="BX302" s="405">
        <f t="shared" si="339"/>
        <v>960</v>
      </c>
      <c r="BY302" s="192"/>
    </row>
    <row r="303" spans="1:79" s="159" customFormat="1" ht="35.25" customHeight="1">
      <c r="A303" s="198" t="s">
        <v>398</v>
      </c>
      <c r="B303" s="402" t="s">
        <v>315</v>
      </c>
      <c r="C303" s="403" t="s">
        <v>388</v>
      </c>
      <c r="D303" s="854">
        <f t="shared" si="298"/>
        <v>31250.82</v>
      </c>
      <c r="E303" s="412">
        <v>123</v>
      </c>
      <c r="F303" s="854">
        <f t="shared" si="340"/>
        <v>38535.26</v>
      </c>
      <c r="G303" s="412">
        <v>134</v>
      </c>
      <c r="H303" s="854">
        <f t="shared" si="299"/>
        <v>36779.949999999997</v>
      </c>
      <c r="I303" s="412">
        <v>24</v>
      </c>
      <c r="J303" s="142">
        <f>ROUND((D303*E303+F303*G303+H303*I303),2)</f>
        <v>9890294.5</v>
      </c>
      <c r="K303" s="141">
        <f t="shared" si="300"/>
        <v>35546.49</v>
      </c>
      <c r="L303" s="412"/>
      <c r="M303" s="141">
        <f t="shared" si="301"/>
        <v>43923.6</v>
      </c>
      <c r="N303" s="412"/>
      <c r="O303" s="141">
        <f t="shared" si="302"/>
        <v>41904.99</v>
      </c>
      <c r="P303" s="413"/>
      <c r="Q303" s="142">
        <f>ROUND((K303*L303+M303*N303+O303*P303),2)</f>
        <v>0</v>
      </c>
      <c r="R303" s="141">
        <f>R304</f>
        <v>41274.050000000003</v>
      </c>
      <c r="S303" s="414"/>
      <c r="T303" s="141">
        <f t="shared" si="304"/>
        <v>51108.05</v>
      </c>
      <c r="U303" s="414"/>
      <c r="V303" s="141">
        <f>V304</f>
        <v>48738.38</v>
      </c>
      <c r="W303" s="414"/>
      <c r="X303" s="142">
        <f>ROUND((R303*S303+T303*U303+V303*W303),2)</f>
        <v>0</v>
      </c>
      <c r="Y303" s="141">
        <f>Y304</f>
        <v>45569.73</v>
      </c>
      <c r="Z303" s="414"/>
      <c r="AA303" s="141">
        <f>AA304</f>
        <v>56496.39</v>
      </c>
      <c r="AB303" s="201"/>
      <c r="AC303" s="142">
        <f>ROUND((Y303*Z303+AA303*AB303),2)</f>
        <v>0</v>
      </c>
      <c r="AD303" s="854">
        <f>AD304</f>
        <v>54161.08</v>
      </c>
      <c r="AE303" s="412">
        <v>1</v>
      </c>
      <c r="AF303" s="854">
        <f>AF304</f>
        <v>67273.070000000007</v>
      </c>
      <c r="AG303" s="412">
        <v>4</v>
      </c>
      <c r="AH303" s="854">
        <f>AH304</f>
        <v>64113.51</v>
      </c>
      <c r="AI303" s="412"/>
      <c r="AJ303" s="142">
        <f>ROUND((AD303*AE303+AF303*AG303+AH303*AI303),2)</f>
        <v>323253.36</v>
      </c>
      <c r="AK303" s="141">
        <f>AK304</f>
        <v>29360.82</v>
      </c>
      <c r="AL303" s="200"/>
      <c r="AM303" s="141">
        <f>AM304</f>
        <v>36645.26</v>
      </c>
      <c r="AN303" s="200"/>
      <c r="AO303" s="141">
        <f>AO304</f>
        <v>34889.949999999997</v>
      </c>
      <c r="AP303" s="200"/>
      <c r="AQ303" s="142">
        <f>ROUND((AK303*AL303+AM303*AN303+AO303*AP303),2)</f>
        <v>0</v>
      </c>
      <c r="AR303" s="141">
        <f>AR304</f>
        <v>35718.379999999997</v>
      </c>
      <c r="AS303" s="208"/>
      <c r="AT303" s="201"/>
      <c r="AU303" s="143">
        <f>AT303+AQ303+AJ303+AC303+X303+Q303+J303</f>
        <v>10213547.859999999</v>
      </c>
      <c r="AV303" s="375">
        <f>AU303</f>
        <v>10213547.859999999</v>
      </c>
      <c r="AW303" s="141">
        <f>AW304</f>
        <v>65258.22</v>
      </c>
      <c r="AX303" s="200"/>
      <c r="AY303" s="141">
        <f>AY304</f>
        <v>81192.94</v>
      </c>
      <c r="AZ303" s="200"/>
      <c r="BA303" s="141">
        <f>BA304</f>
        <v>77353.2</v>
      </c>
      <c r="BB303" s="200"/>
      <c r="BC303" s="142">
        <f>ROUND((AW303*AX303+AY303*AZ303+BA303*BB303),2)</f>
        <v>0</v>
      </c>
      <c r="BD303" s="141">
        <f>BD304</f>
        <v>77787.27</v>
      </c>
      <c r="BE303" s="201"/>
      <c r="BF303" s="141">
        <f>BF304</f>
        <v>96908.93</v>
      </c>
      <c r="BG303" s="201"/>
      <c r="BH303" s="142">
        <f>ROUND((BD303*BE303+BF303*BG303),2)</f>
        <v>0</v>
      </c>
      <c r="BI303" s="144">
        <f>BH303+BC303</f>
        <v>0</v>
      </c>
      <c r="BJ303" s="141">
        <f>BJ304</f>
        <v>25708.01</v>
      </c>
      <c r="BK303" s="201"/>
      <c r="BL303" s="141">
        <f>BL304</f>
        <v>27763.9</v>
      </c>
      <c r="BM303" s="201"/>
      <c r="BN303" s="141">
        <f>BN304</f>
        <v>23851.91</v>
      </c>
      <c r="BO303" s="201"/>
      <c r="BP303" s="142">
        <f>ROUND((BJ303*BK303+BL303*BM303+BN303*BO303),2)</f>
        <v>0</v>
      </c>
      <c r="BQ303" s="141">
        <f>BQ304</f>
        <v>42444.76</v>
      </c>
      <c r="BR303" s="201"/>
      <c r="BS303" s="141">
        <f>BS304</f>
        <v>46158.78</v>
      </c>
      <c r="BT303" s="412"/>
      <c r="BU303" s="141">
        <f>BU304</f>
        <v>39091.67</v>
      </c>
      <c r="BV303" s="412"/>
      <c r="BW303" s="142">
        <f>ROUND((BQ303*BR303+BS303*BT303+BU303*BV303),2)</f>
        <v>0</v>
      </c>
      <c r="BX303" s="405">
        <f t="shared" si="339"/>
        <v>286</v>
      </c>
      <c r="BY303" s="158"/>
    </row>
    <row r="304" spans="1:79" s="168" customFormat="1" ht="35.25" customHeight="1" thickBot="1">
      <c r="A304" s="194"/>
      <c r="B304" s="195" t="s">
        <v>639</v>
      </c>
      <c r="C304" s="195"/>
      <c r="D304" s="856">
        <f>D306</f>
        <v>31250.82</v>
      </c>
      <c r="E304" s="416">
        <f>E297+E298+E299+E302+E303</f>
        <v>1256</v>
      </c>
      <c r="F304" s="856">
        <f>F306</f>
        <v>38535.26</v>
      </c>
      <c r="G304" s="416">
        <f t="shared" ref="G304:BO304" si="341">G297+G298+G299+G302+G303</f>
        <v>1344</v>
      </c>
      <c r="H304" s="856">
        <f>H306</f>
        <v>36779.949999999997</v>
      </c>
      <c r="I304" s="416">
        <f t="shared" si="341"/>
        <v>354</v>
      </c>
      <c r="J304" s="415">
        <f t="shared" si="341"/>
        <v>104062521.66</v>
      </c>
      <c r="K304" s="415">
        <f>K306</f>
        <v>35546.49</v>
      </c>
      <c r="L304" s="415">
        <f t="shared" si="341"/>
        <v>0</v>
      </c>
      <c r="M304" s="415">
        <f>M306</f>
        <v>43923.6</v>
      </c>
      <c r="N304" s="415">
        <f t="shared" si="341"/>
        <v>0</v>
      </c>
      <c r="O304" s="415">
        <f>O306</f>
        <v>41904.99</v>
      </c>
      <c r="P304" s="415">
        <f t="shared" si="341"/>
        <v>0</v>
      </c>
      <c r="Q304" s="415">
        <f>Q297+Q298+Q299+Q302+Q303</f>
        <v>0</v>
      </c>
      <c r="R304" s="415">
        <f>R306</f>
        <v>41274.050000000003</v>
      </c>
      <c r="S304" s="415">
        <f t="shared" si="341"/>
        <v>0</v>
      </c>
      <c r="T304" s="415">
        <f>T306</f>
        <v>51108.05</v>
      </c>
      <c r="U304" s="415">
        <f t="shared" si="341"/>
        <v>0</v>
      </c>
      <c r="V304" s="415">
        <f>V306</f>
        <v>48738.38</v>
      </c>
      <c r="W304" s="415">
        <f t="shared" si="341"/>
        <v>0</v>
      </c>
      <c r="X304" s="415">
        <f>X297+X298+X299+X302+X303</f>
        <v>0</v>
      </c>
      <c r="Y304" s="415">
        <f>Y306</f>
        <v>45569.73</v>
      </c>
      <c r="Z304" s="415">
        <f t="shared" si="341"/>
        <v>0</v>
      </c>
      <c r="AA304" s="415">
        <f>AA306</f>
        <v>56496.39</v>
      </c>
      <c r="AB304" s="210">
        <f t="shared" si="341"/>
        <v>0</v>
      </c>
      <c r="AC304" s="210">
        <f t="shared" si="341"/>
        <v>0</v>
      </c>
      <c r="AD304" s="856">
        <f>AD306</f>
        <v>54161.08</v>
      </c>
      <c r="AE304" s="417">
        <f t="shared" si="341"/>
        <v>12</v>
      </c>
      <c r="AF304" s="856">
        <f>AF306</f>
        <v>67273.070000000007</v>
      </c>
      <c r="AG304" s="417">
        <f t="shared" si="341"/>
        <v>26</v>
      </c>
      <c r="AH304" s="856">
        <f>AH306</f>
        <v>64113.51</v>
      </c>
      <c r="AI304" s="417">
        <f t="shared" si="341"/>
        <v>0</v>
      </c>
      <c r="AJ304" s="415">
        <f>AJ297+AJ298+AJ299+AJ302+AJ303</f>
        <v>2399032.7799999998</v>
      </c>
      <c r="AK304" s="415">
        <f>AK306</f>
        <v>29360.82</v>
      </c>
      <c r="AL304" s="210">
        <f t="shared" si="341"/>
        <v>0</v>
      </c>
      <c r="AM304" s="415">
        <f>AM306</f>
        <v>36645.26</v>
      </c>
      <c r="AN304" s="210">
        <f t="shared" si="341"/>
        <v>0</v>
      </c>
      <c r="AO304" s="415">
        <f>AO306</f>
        <v>34889.949999999997</v>
      </c>
      <c r="AP304" s="210">
        <f t="shared" si="341"/>
        <v>0</v>
      </c>
      <c r="AQ304" s="415">
        <f>AQ297+AQ298+AQ299+AQ302+AQ303</f>
        <v>0</v>
      </c>
      <c r="AR304" s="415">
        <f>AR306</f>
        <v>35718.379999999997</v>
      </c>
      <c r="AS304" s="210">
        <f t="shared" si="341"/>
        <v>0</v>
      </c>
      <c r="AT304" s="210">
        <f t="shared" si="341"/>
        <v>0</v>
      </c>
      <c r="AU304" s="857">
        <f t="shared" si="341"/>
        <v>106461554.43999998</v>
      </c>
      <c r="AV304" s="857">
        <f>SUM(AV297:AV303)</f>
        <v>116683111.64999999</v>
      </c>
      <c r="AW304" s="415">
        <f>AW306</f>
        <v>65258.22</v>
      </c>
      <c r="AX304" s="210">
        <f t="shared" si="341"/>
        <v>0</v>
      </c>
      <c r="AY304" s="415">
        <f>AY306</f>
        <v>81192.94</v>
      </c>
      <c r="AZ304" s="210">
        <f t="shared" si="341"/>
        <v>0</v>
      </c>
      <c r="BA304" s="415">
        <f>BA306</f>
        <v>77353.2</v>
      </c>
      <c r="BB304" s="210">
        <f t="shared" si="341"/>
        <v>0</v>
      </c>
      <c r="BC304" s="415">
        <f>BC297+BC298+BC299+BC302+BC303</f>
        <v>0</v>
      </c>
      <c r="BD304" s="415">
        <f>BD306</f>
        <v>77787.27</v>
      </c>
      <c r="BE304" s="210">
        <f t="shared" si="341"/>
        <v>0</v>
      </c>
      <c r="BF304" s="415">
        <f>BF306</f>
        <v>96908.93</v>
      </c>
      <c r="BG304" s="210">
        <f t="shared" si="341"/>
        <v>0</v>
      </c>
      <c r="BH304" s="210">
        <f t="shared" si="341"/>
        <v>0</v>
      </c>
      <c r="BI304" s="210">
        <f t="shared" si="341"/>
        <v>0</v>
      </c>
      <c r="BJ304" s="415">
        <f>BJ306</f>
        <v>25708.01</v>
      </c>
      <c r="BK304" s="210">
        <f t="shared" si="341"/>
        <v>0</v>
      </c>
      <c r="BL304" s="415">
        <f>BL306</f>
        <v>27763.9</v>
      </c>
      <c r="BM304" s="210">
        <f t="shared" si="341"/>
        <v>14</v>
      </c>
      <c r="BN304" s="415">
        <f>BN306</f>
        <v>23851.91</v>
      </c>
      <c r="BO304" s="210">
        <f t="shared" si="341"/>
        <v>15</v>
      </c>
      <c r="BP304" s="415">
        <f>BP297+BP298+BP299+BP302+BP303</f>
        <v>746473.25</v>
      </c>
      <c r="BQ304" s="415">
        <f>BQ306</f>
        <v>42444.76</v>
      </c>
      <c r="BR304" s="210">
        <f t="shared" ref="BR304:BW304" si="342">BR297+BR298+BR299+BR302+BR303</f>
        <v>0</v>
      </c>
      <c r="BS304" s="415">
        <f>BS306</f>
        <v>46158.78</v>
      </c>
      <c r="BT304" s="416">
        <f t="shared" si="342"/>
        <v>0</v>
      </c>
      <c r="BU304" s="415">
        <f>BU306</f>
        <v>39091.67</v>
      </c>
      <c r="BV304" s="416">
        <f t="shared" si="342"/>
        <v>0</v>
      </c>
      <c r="BW304" s="415">
        <f t="shared" si="342"/>
        <v>0</v>
      </c>
      <c r="BX304" s="418">
        <f>BX297+BX298+BX299+BX302+BX303</f>
        <v>3021</v>
      </c>
      <c r="BY304" s="167"/>
    </row>
    <row r="305" spans="1:78">
      <c r="BY305" s="178"/>
      <c r="BZ305" s="178"/>
    </row>
    <row r="306" spans="1:78" s="423" customFormat="1" ht="15.75">
      <c r="A306" s="419"/>
      <c r="B306" s="419" t="s">
        <v>640</v>
      </c>
      <c r="C306" s="419"/>
      <c r="D306" s="1053">
        <f>Нормативы!M20</f>
        <v>31250.82</v>
      </c>
      <c r="E306" s="420">
        <f>E304+E291+E282+E211+E199+E182+E176+E170+E165+E159+E155+E150+E148+E143+E128+E126+E107+E101+E99+E85+E82+E63+E57+E47+E37+E23+E20+E18+E13</f>
        <v>28190</v>
      </c>
      <c r="F306" s="1053">
        <f>Нормативы!N20</f>
        <v>38535.26</v>
      </c>
      <c r="G306" s="420">
        <f>G304+G291+G282+G211+G199+G182+G176+G170+G165+G159+G155+G150+G148+G143+G128+G126+G107+G101+G99+G85+G82+G63+G57+G47+G37+G23+G20+G18+G13</f>
        <v>28794</v>
      </c>
      <c r="H306" s="1053">
        <f>Нормативы!O20</f>
        <v>36779.949999999997</v>
      </c>
      <c r="I306" s="420">
        <f>I304+I291+I282+I211+I199+I182+I176+I170+I165+I159+I155+I150+I148+I143+I128+I126+I107+I101+I99+I85+I82+I63+I57+I47+I37+I23+I20+I18+I13</f>
        <v>5366</v>
      </c>
      <c r="J306" s="420">
        <f>J304+J291+J282+J211+J199+J182+J176+J170+J165+J159+J155+J150+J148+J143+J128+J126+J107+J101+J99+J85+J82+J63+J57+J47+J37+J23+J20+J18+J13</f>
        <v>2187906103.9400001</v>
      </c>
      <c r="K306" s="1053">
        <f>Нормативы!M22</f>
        <v>35546.49</v>
      </c>
      <c r="L306" s="420">
        <f>L304+L291+L282+L211+L199+L182+L176+L170+L165+L159+L155+L150+L148+L143+L128+L126+L107+L101+L99+L85+L82+L63+L57+L47+L37+L23+L20+L18+L13</f>
        <v>3479</v>
      </c>
      <c r="M306" s="1053">
        <f>Нормативы!N22</f>
        <v>43923.6</v>
      </c>
      <c r="N306" s="420">
        <f>N304+N291+N282+N211+N199+N182+N176+N170+N165+N159+N155+N150+N148+N143+N128+N126+N107+N101+N99+N85+N82+N63+N57+N47+N37+N23+N20+N18+N13</f>
        <v>5554</v>
      </c>
      <c r="O306" s="1053">
        <f>Нормативы!O22</f>
        <v>41904.99</v>
      </c>
      <c r="P306" s="420">
        <f>P304+P291+P282+P211+P199+P182+P176+P170+P165+P159+P155+P150+P148+P143+P128+P126+P107+P101+P99+P85+P82+P63+P57+P47+P37+P23+P20+P18+P13</f>
        <v>1336</v>
      </c>
      <c r="Q306" s="420">
        <f>Q304+Q291+Q282+Q211+Q199+Q182+Q176+Q170+Q165+Q159+Q155+Q150+Q148+Q143+Q128+Q126+Q107+Q101+Q99+Q85+Q82+Q63+Q57+Q47+Q37+Q23+Q20+Q18+Q13</f>
        <v>423602979.75</v>
      </c>
      <c r="R306" s="1053">
        <f>Нормативы!M21</f>
        <v>41274.050000000003</v>
      </c>
      <c r="S306" s="420">
        <f>S304+S291+S282+S211+S199+S182+S176+S170+S165+S159+S155+S150+S148+S143+S128+S126+S107+S101+S99+S85+S82+S63+S57+S47+S37+S23+S20+S18+S13</f>
        <v>1306</v>
      </c>
      <c r="T306" s="1053">
        <f>Нормативы!N21</f>
        <v>51108.05</v>
      </c>
      <c r="U306" s="420">
        <f>U304+U291+U282+U211+U199+U182+U176+U170+U165+U159+U155+U150+U148+U143+U128+U126+U107+U101+U99+U85+U82+U63+U57+U47+U37+U23+U20+U18+U13</f>
        <v>1495</v>
      </c>
      <c r="V306" s="1053">
        <f>Нормативы!O21</f>
        <v>48738.38</v>
      </c>
      <c r="W306" s="420">
        <f>W304+W291+W282+W211+W199+W182+W176+W170+W165+W159+W155+W150+W148+W143+W128+W126+W107+W101+W99+W85+W82+W63+W57+W47+W37+W23+W20+W18+W13</f>
        <v>498</v>
      </c>
      <c r="X306" s="420">
        <f>X304+X291+X282+X211+X199+X182+X176+X170+X165+X159+X155+X150+X148+X143+X128+X126+X107+X101+X99+X85+X82+X63+X57+X47+X37+X23+X20+X18+X13</f>
        <v>154582157.28999999</v>
      </c>
      <c r="Y306" s="1053">
        <f>Нормативы!M23</f>
        <v>45569.73</v>
      </c>
      <c r="Z306" s="420">
        <f>Z304+Z291+Z282+Z211+Z199+Z182+Z176+Z170+Z165+Z159+Z155+Z150+Z148+Z143+Z128+Z126+Z107+Z101+Z99+Z85+Z82+Z63+Z57+Z47+Z37+Z23+Z20+Z18+Z13</f>
        <v>410</v>
      </c>
      <c r="AA306" s="1053">
        <f>Нормативы!N23</f>
        <v>56496.39</v>
      </c>
      <c r="AB306" s="420">
        <f>AB304+AB291+AB282+AB211+AB199+AB182+AB176+AB170+AB165+AB159+AB155+AB150+AB148+AB143+AB128+AB126+AB107+AB101+AB99+AB85+AB82+AB63+AB57+AB47+AB37+AB23+AB20+AB18+AB13</f>
        <v>403</v>
      </c>
      <c r="AC306" s="420">
        <f>AC304+AC291+AC282+AC211+AC199+AC182+AC176+AC170+AC165+AC159+AC155+AC150+AC148+AC143+AC128+AC126+AC107+AC101+AC99+AC85+AC82+AC63+AC57+AC47+AC37+AC23+AC20+AC18+AC13</f>
        <v>41451634.469999999</v>
      </c>
      <c r="AD306" s="1053">
        <f>Нормативы!M30</f>
        <v>54161.08</v>
      </c>
      <c r="AE306" s="420">
        <f>AE304+AE291+AE282+AE211+AE199+AE182+AE176+AE170+AE165+AE159+AE155+AE150+AE148+AE143+AE128+AE126+AE107+AE101+AE99+AE85+AE82+AE63+AE57+AE47+AE37+AE23+AE20+AE18+AE13</f>
        <v>462</v>
      </c>
      <c r="AF306" s="1053">
        <f>Нормативы!N30</f>
        <v>67273.070000000007</v>
      </c>
      <c r="AG306" s="420">
        <f>AG304+AG291+AG282+AG211+AG199+AG182+AG176+AG170+AG165+AG159+AG155+AG150+AG148+AG143+AG128+AG126+AG107+AG101+AG99+AG85+AG82+AG63+AG57+AG47+AG37+AG23+AG20+AG18+AG13</f>
        <v>961</v>
      </c>
      <c r="AH306" s="1053">
        <f>Нормативы!O30</f>
        <v>64113.51</v>
      </c>
      <c r="AI306" s="420">
        <f>AI304+AI291+AI282+AI211+AI199+AI182+AI176+AI170+AI165+AI159+AI155+AI150+AI148+AI143+AI128+AI126+AI107+AI101+AI99+AI85+AI82+AI63+AI57+AI47+AI37+AI23+AI20+AI18+AI13</f>
        <v>72</v>
      </c>
      <c r="AJ306" s="420">
        <f>AJ304+AJ291+AJ282+AJ211+AJ199+AJ182+AJ176+AJ170+AJ165+AJ159+AJ155+AJ150+AJ148+AJ143+AJ128+AJ126+AJ107+AJ101+AJ99+AJ85+AJ82+AJ63+AJ57+AJ47+AJ37+AJ23+AJ20+AJ18+AJ13</f>
        <v>91982476.519999951</v>
      </c>
      <c r="AK306" s="1053">
        <f>Нормативы!M31</f>
        <v>29360.82</v>
      </c>
      <c r="AL306" s="420">
        <f>AL304+AL291+AL282+AL211+AL199+AL182+AL176+AL170+AL165+AL159+AL155+AL150+AL148+AL143+AL128+AL126+AL107+AL101+AL99+AL85+AL82+AL63+AL57+AL47+AL37+AL23+AL20+AL18+AL13</f>
        <v>37</v>
      </c>
      <c r="AM306" s="1053">
        <f>Нормативы!N31</f>
        <v>36645.26</v>
      </c>
      <c r="AN306" s="420">
        <f>AN304+AN291+AN282+AN211+AN199+AN182+AN176+AN170+AN165+AN159+AN155+AN150+AN148+AN143+AN128+AN126+AN107+AN101+AN99+AN85+AN82+AN63+AN57+AN47+AN37+AN23+AN20+AN18+AN13</f>
        <v>52</v>
      </c>
      <c r="AO306" s="1053">
        <f>Нормативы!O31</f>
        <v>34889.949999999997</v>
      </c>
      <c r="AP306" s="420">
        <f>AP304+AP291+AP282+AP211+AP199+AP182+AP176+AP170+AP165+AP159+AP155+AP150+AP148+AP143+AP128+AP126+AP107+AP101+AP99+AP85+AP82+AP63+AP57+AP47+AP37+AP23+AP20+AP18+AP13</f>
        <v>25</v>
      </c>
      <c r="AQ306" s="420">
        <f>AQ304+AQ291+AQ282+AQ211+AQ199+AQ182+AQ176+AQ170+AQ165+AQ159+AQ155+AQ150+AQ148+AQ143+AQ128+AQ126+AQ107+AQ101+AQ99+AQ85+AQ82+AQ63+AQ57+AQ47+AQ37+AQ23+AQ20+AQ18+AQ13</f>
        <v>3864152.61</v>
      </c>
      <c r="AR306" s="1053">
        <f>Нормативы!M32</f>
        <v>35718.379999999997</v>
      </c>
      <c r="AS306" s="420">
        <f>AS304+AS291+AS282+AS211+AS199+AS182+AS176+AS170+AS165+AS159+AS155+AS150+AS148+AS143+AS128+AS126+AS107+AS101+AS99+AS85+AS82+AS63+AS57+AS47+AS37+AS23+AS20+AS18+AS13</f>
        <v>666</v>
      </c>
      <c r="AT306" s="420">
        <f>AT304+AT291+AT282+AT211+AT199+AT182+AT176+AT170+AT165+AT159+AT155+AT150+AT148+AT143+AT128+AT126+AT107+AT101+AT99+AT85+AT82+AT63+AT57+AT47+AT37+AT23+AT20+AT18+AT13</f>
        <v>23788441.080000002</v>
      </c>
      <c r="AU306" s="1079">
        <f>AU304+AU291+AU282+AU211+AU199+AU182+AU176+AU170+AU165+AU159+AU155+AU150+AU148+AU143+AU128+AU126+AU107+AU101+AU99+AU85+AU82+AU63+AU57+AU47+AU37+AU23+AU20+AU18+AU13</f>
        <v>2929483481.3899994</v>
      </c>
      <c r="AV306" s="420">
        <f>AV304+AV291+AV282+AV211+AV199+AV182+AV176+AV170+AV165+AV159+AV155+AV150+AV148+AV143+AV128+AV126+AV107+AV101+AV99+AV85+AV82+AV63+AV57+AV47+AV37+AV23+AV20+AV18+AV13</f>
        <v>3120628637.999999</v>
      </c>
      <c r="AW306" s="1053">
        <f>Нормативы!M24</f>
        <v>65258.22</v>
      </c>
      <c r="AX306" s="420">
        <f>AX304+AX291+AX282+AX211+AX199+AX182+AX176+AX170+AX165+AX159+AX155+AX150+AX148+AX143+AX128+AX126+AX107+AX101+AX99+AX85+AX82+AX63+AX57+AX47+AX37+AX23+AX20+AX18+AX13</f>
        <v>0</v>
      </c>
      <c r="AY306" s="1053">
        <f>Нормативы!N24</f>
        <v>81192.94</v>
      </c>
      <c r="AZ306" s="420">
        <f>AZ304+AZ291+AZ282+AZ211+AZ199+AZ182+AZ176+AZ170+AZ165+AZ159+AZ155+AZ150+AZ148+AZ143+AZ128+AZ126+AZ107+AZ101+AZ99+AZ85+AZ82+AZ63+AZ57+AZ47+AZ37+AZ23+AZ20+AZ18+AZ13</f>
        <v>134</v>
      </c>
      <c r="BA306" s="1053">
        <f>Нормативы!O24</f>
        <v>77353.2</v>
      </c>
      <c r="BB306" s="420">
        <f>BB304+BB291+BB282+BB211+BB199+BB182+BB176+BB170+BB165+BB159+BB155+BB150+BB148+BB143+BB128+BB126+BB107+BB101+BB99+BB85+BB82+BB63+BB57+BB47+BB37+BB23+BB20+BB18+BB13</f>
        <v>15</v>
      </c>
      <c r="BC306" s="420">
        <f>BC304+BC291+BC282+BC211+BC199+BC182+BC176+BC170+BC165+BC159+BC155+BC150+BC148+BC143+BC128+BC126+BC107+BC101+BC99+BC85+BC82+BC63+BC57+BC47+BC37+BC23+BC20+BC18+BC13</f>
        <v>12040151.960000001</v>
      </c>
      <c r="BD306" s="1053">
        <f>Нормативы!M25</f>
        <v>77787.27</v>
      </c>
      <c r="BE306" s="420">
        <f>BE304+BE291+BE282+BE211+BE199+BE182+BE176+BE170+BE165+BE159+BE155+BE150+BE148+BE143+BE128+BE126+BE107+BE101+BE99+BE85+BE82+BE63+BE57+BE47+BE37+BE23+BE20+BE18+BE13</f>
        <v>184</v>
      </c>
      <c r="BF306" s="1053">
        <f>Нормативы!N25</f>
        <v>96908.93</v>
      </c>
      <c r="BG306" s="420">
        <f>BG304+BG291+BG282+BG211+BG199+BG182+BG176+BG170+BG165+BG159+BG155+BG150+BG148+BG143+BG128+BG126+BG107+BG101+BG99+BG85+BG82+BG63+BG57+BG47+BG37+BG23+BG20+BG18+BG13</f>
        <v>195</v>
      </c>
      <c r="BH306" s="420">
        <f>BH304+BH291+BH282+BH211+BH199+BH182+BH176+BH170+BH165+BH159+BH155+BH150+BH148+BH143+BH128+BH126+BH107+BH101+BH99+BH85+BH82+BH63+BH57+BH47+BH37+BH23+BH20+BH18+BH13</f>
        <v>33210099.030000001</v>
      </c>
      <c r="BI306" s="420">
        <f>BI304+BI291+BI282+BI211+BI199+BI182+BI176+BI170+BI165+BI159+BI155+BI150+BI148+BI143+BI128+BI126+BI107+BI101+BI99+BI85+BI82+BI63+BI57+BI47+BI37+BI23+BI20+BI18+BI13</f>
        <v>45250250.990000002</v>
      </c>
      <c r="BJ306" s="1053">
        <f>Нормативы!M28</f>
        <v>25708.01</v>
      </c>
      <c r="BK306" s="420">
        <f>BK304+BK291+BK282+BK211+BK199+BK182+BK176+BK170+BK165+BK159+BK155+BK150+BK148+BK143+BK128+BK126+BK107+BK101+BK99+BK85+BK82+BK63+BK57+BK47+BK37+BK23+BK20+BK18+BK13</f>
        <v>0</v>
      </c>
      <c r="BL306" s="1053">
        <f>Нормативы!N28</f>
        <v>27763.9</v>
      </c>
      <c r="BM306" s="420">
        <f>BM304+BM291+BM282+BM211+BM199+BM182+BM176+BM170+BM165+BM159+BM155+BM150+BM148+BM143+BM128+BM126+BM107+BM101+BM99+BM85+BM82+BM63+BM57+BM47+BM37+BM23+BM20+BM18+BM13</f>
        <v>142</v>
      </c>
      <c r="BN306" s="1053">
        <f>Нормативы!O28</f>
        <v>23851.91</v>
      </c>
      <c r="BO306" s="420">
        <f>BO304+BO291+BO282+BO211+BO199+BO182+BO176+BO170+BO165+BO159+BO155+BO150+BO148+BO143+BO128+BO126+BO107+BO101+BO99+BO85+BO82+BO63+BO57+BO47+BO37+BO23+BO20+BO18+BO13</f>
        <v>219</v>
      </c>
      <c r="BP306" s="420">
        <f>BP304+BP291+BP282+BP211+BP199+BP182+BP176+BP170+BP165+BP159+BP155+BP150+BP148+BP143+BP128+BP126+BP107+BP101+BP99+BP85+BP82+BP63+BP57+BP47+BP37+BP23+BP20+BP18+BP13</f>
        <v>9166042.089999998</v>
      </c>
      <c r="BQ306" s="1053">
        <f>Нормативы!M29</f>
        <v>42444.76</v>
      </c>
      <c r="BR306" s="420">
        <f>BR304+BR291+BR282+BR211+BR199+BR182+BR176+BR170+BR165+BR159+BR155+BR150+BR148+BR143+BR128+BR126+BR107+BR101+BR99+BR85+BR82+BR63+BR57+BR47+BR37+BR23+BR20+BR18+BR13</f>
        <v>1</v>
      </c>
      <c r="BS306" s="1053">
        <f>Нормативы!N29</f>
        <v>46158.78</v>
      </c>
      <c r="BT306" s="420">
        <f>BT304+BT291+BT282+BT211+BT199+BT182+BT176+BT170+BT165+BT159+BT155+BT150+BT148+BT143+BT128+BT126+BT107+BT101+BT99+BT85+BT82+BT63+BT57+BT47+BT37+BT23+BT20+BT18+BT13</f>
        <v>72</v>
      </c>
      <c r="BU306" s="1053">
        <f>Нормативы!O29</f>
        <v>39091.67</v>
      </c>
      <c r="BV306" s="420">
        <f>BV304+BV291+BV282+BV211+BV199+BV182+BV176+BV170+BV165+BV159+BV155+BV150+BV148+BV143+BV128+BV126+BV107+BV101+BV99+BV85+BV82+BV63+BV57+BV47+BV37+BV23+BV20+BV18+BV13</f>
        <v>47</v>
      </c>
      <c r="BW306" s="420">
        <f>BW304+BW291+BW282+BW211+BW199+BW182+BW176+BW170+BW165+BW159+BW155+BW150+BW148+BW143+BW128+BW126+BW107+BW101+BW99+BW85+BW82+BW63+BW57+BW47+BW37+BW23+BW20+BW18+BW13</f>
        <v>5203185.41</v>
      </c>
      <c r="BX306" s="421">
        <f>BX304+BX291+BX282+BX211+BX199+BX182+BX176+BX170+BX165+BX159+BX155+BX150+BX148+BX143+BX128+BX126+BX107+BX101+BX99+BX85+BX82+BX63+BX57+BX47+BX37+BX23+BX20+BX18+BX13</f>
        <v>80115</v>
      </c>
      <c r="BY306" s="422"/>
      <c r="BZ306" s="422"/>
    </row>
  </sheetData>
  <mergeCells count="92">
    <mergeCell ref="A283:C283"/>
    <mergeCell ref="A292:C292"/>
    <mergeCell ref="D1:R1"/>
    <mergeCell ref="A166:C166"/>
    <mergeCell ref="A171:C171"/>
    <mergeCell ref="A177:C177"/>
    <mergeCell ref="A183:C183"/>
    <mergeCell ref="A200:C200"/>
    <mergeCell ref="A212:C212"/>
    <mergeCell ref="A129:C129"/>
    <mergeCell ref="A144:C144"/>
    <mergeCell ref="A149:C149"/>
    <mergeCell ref="A151:C151"/>
    <mergeCell ref="A156:C156"/>
    <mergeCell ref="A160:C160"/>
    <mergeCell ref="A83:C83"/>
    <mergeCell ref="A86:C86"/>
    <mergeCell ref="A100:C100"/>
    <mergeCell ref="A102:C102"/>
    <mergeCell ref="A108:C108"/>
    <mergeCell ref="A127:C127"/>
    <mergeCell ref="A21:C21"/>
    <mergeCell ref="A24:C24"/>
    <mergeCell ref="A38:C38"/>
    <mergeCell ref="A48:C48"/>
    <mergeCell ref="A58:C58"/>
    <mergeCell ref="A64:C64"/>
    <mergeCell ref="BS4:BT4"/>
    <mergeCell ref="BU4:BV4"/>
    <mergeCell ref="BW4:BW5"/>
    <mergeCell ref="A7:C7"/>
    <mergeCell ref="A14:C14"/>
    <mergeCell ref="A19:C19"/>
    <mergeCell ref="BH4:BH5"/>
    <mergeCell ref="BJ4:BK4"/>
    <mergeCell ref="BL4:BM4"/>
    <mergeCell ref="BN4:BO4"/>
    <mergeCell ref="BP4:BP5"/>
    <mergeCell ref="BQ4:BR4"/>
    <mergeCell ref="AQ4:AQ5"/>
    <mergeCell ref="AR4:AS4"/>
    <mergeCell ref="AT4:AT5"/>
    <mergeCell ref="AY4:AZ4"/>
    <mergeCell ref="BA4:BB4"/>
    <mergeCell ref="AF4:AG4"/>
    <mergeCell ref="AH4:AI4"/>
    <mergeCell ref="AJ4:AJ5"/>
    <mergeCell ref="AK4:AL4"/>
    <mergeCell ref="AM4:AN4"/>
    <mergeCell ref="AO4:AP4"/>
    <mergeCell ref="X4:X5"/>
    <mergeCell ref="Y4:Z4"/>
    <mergeCell ref="AA4:AB4"/>
    <mergeCell ref="AC4:AC5"/>
    <mergeCell ref="AW4:AX4"/>
    <mergeCell ref="O4:P4"/>
    <mergeCell ref="Q4:Q5"/>
    <mergeCell ref="R4:S4"/>
    <mergeCell ref="T4:U4"/>
    <mergeCell ref="V4:W4"/>
    <mergeCell ref="BZ2:BZ5"/>
    <mergeCell ref="D3:J3"/>
    <mergeCell ref="K3:Q3"/>
    <mergeCell ref="R3:X3"/>
    <mergeCell ref="Y3:AC3"/>
    <mergeCell ref="AD3:AJ3"/>
    <mergeCell ref="AK3:AQ3"/>
    <mergeCell ref="AR3:AT3"/>
    <mergeCell ref="AW3:BC3"/>
    <mergeCell ref="BD3:BH3"/>
    <mergeCell ref="AV2:AV5"/>
    <mergeCell ref="AW2:BI2"/>
    <mergeCell ref="BJ2:BP3"/>
    <mergeCell ref="BQ2:BW3"/>
    <mergeCell ref="BX2:BX5"/>
    <mergeCell ref="BY2:BY5"/>
    <mergeCell ref="BI3:BI5"/>
    <mergeCell ref="BC4:BC5"/>
    <mergeCell ref="BD4:BE4"/>
    <mergeCell ref="BF4:BG4"/>
    <mergeCell ref="A2:A5"/>
    <mergeCell ref="B2:B5"/>
    <mergeCell ref="C2:C5"/>
    <mergeCell ref="D2:AT2"/>
    <mergeCell ref="AU2:AU5"/>
    <mergeCell ref="D4:E4"/>
    <mergeCell ref="F4:G4"/>
    <mergeCell ref="H4:I4"/>
    <mergeCell ref="J4:J5"/>
    <mergeCell ref="AD4:AE4"/>
    <mergeCell ref="K4:L4"/>
    <mergeCell ref="M4:N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71"/>
  <sheetViews>
    <sheetView zoomScale="85" zoomScaleNormal="85" workbookViewId="0">
      <pane xSplit="2" ySplit="7" topLeftCell="AI8" activePane="bottomRight" state="frozen"/>
      <selection pane="topRight" activeCell="C1" sqref="C1"/>
      <selection pane="bottomLeft" activeCell="A8" sqref="A8"/>
      <selection pane="bottomRight" activeCell="BD30" sqref="BD30"/>
    </sheetView>
  </sheetViews>
  <sheetFormatPr defaultRowHeight="12.75"/>
  <cols>
    <col min="1" max="1" width="2.85546875" customWidth="1"/>
    <col min="2" max="2" width="15.7109375" customWidth="1"/>
    <col min="3" max="3" width="6.140625" hidden="1" customWidth="1"/>
    <col min="4" max="4" width="6" hidden="1" customWidth="1"/>
    <col min="5" max="5" width="9.5703125" hidden="1" customWidth="1"/>
    <col min="6" max="6" width="6.7109375" hidden="1" customWidth="1"/>
    <col min="7" max="7" width="11.140625" hidden="1" customWidth="1"/>
    <col min="8" max="8" width="9.28515625" hidden="1" customWidth="1"/>
    <col min="9" max="9" width="9.7109375" hidden="1" customWidth="1"/>
    <col min="10" max="10" width="6.28515625" hidden="1" customWidth="1"/>
    <col min="11" max="11" width="6.5703125" hidden="1" customWidth="1"/>
    <col min="12" max="12" width="7.7109375" hidden="1" customWidth="1"/>
    <col min="13" max="13" width="7.42578125" hidden="1" customWidth="1"/>
    <col min="14" max="14" width="7.28515625" customWidth="1"/>
    <col min="15" max="15" width="6.28515625" customWidth="1"/>
    <col min="16" max="16" width="6.42578125" customWidth="1"/>
    <col min="17" max="17" width="6.28515625" customWidth="1"/>
    <col min="18" max="19" width="10.7109375" customWidth="1"/>
    <col min="20" max="20" width="16.5703125" customWidth="1"/>
    <col min="21" max="21" width="18.28515625" customWidth="1"/>
    <col min="22" max="22" width="16.7109375" customWidth="1"/>
    <col min="23" max="23" width="13.28515625" customWidth="1"/>
    <col min="24" max="24" width="15.5703125" customWidth="1"/>
    <col min="25" max="25" width="14.42578125" customWidth="1"/>
    <col min="26" max="26" width="14.5703125" customWidth="1"/>
    <col min="27" max="27" width="9.85546875" customWidth="1"/>
    <col min="28" max="28" width="11.28515625" customWidth="1"/>
    <col min="29" max="29" width="14.85546875" customWidth="1"/>
    <col min="30" max="30" width="14.28515625" customWidth="1"/>
    <col min="31" max="31" width="9.28515625" customWidth="1"/>
    <col min="32" max="32" width="16.7109375" customWidth="1"/>
    <col min="33" max="33" width="17" customWidth="1"/>
    <col min="34" max="34" width="18" customWidth="1"/>
    <col min="35" max="35" width="16.7109375" customWidth="1"/>
    <col min="36" max="36" width="16.140625" customWidth="1"/>
    <col min="37" max="37" width="13.7109375" customWidth="1"/>
    <col min="38" max="39" width="11.7109375" customWidth="1"/>
    <col min="40" max="40" width="5.85546875" customWidth="1"/>
    <col min="41" max="41" width="9.140625" customWidth="1"/>
    <col min="42" max="42" width="8.7109375" customWidth="1"/>
    <col min="43" max="43" width="13.5703125" customWidth="1"/>
    <col min="44" max="44" width="14" customWidth="1"/>
    <col min="45" max="45" width="8.85546875" customWidth="1"/>
    <col min="46" max="46" width="6.7109375" customWidth="1"/>
    <col min="47" max="47" width="6.85546875" customWidth="1"/>
    <col min="48" max="48" width="14.140625" customWidth="1"/>
    <col min="49" max="49" width="8.85546875" customWidth="1"/>
    <col min="50" max="50" width="6.140625" customWidth="1"/>
    <col min="51" max="51" width="6.42578125" customWidth="1"/>
    <col min="52" max="52" width="7" customWidth="1"/>
    <col min="53" max="53" width="7.140625" customWidth="1"/>
    <col min="54" max="54" width="11.7109375" customWidth="1"/>
    <col min="55" max="55" width="14.140625" customWidth="1"/>
    <col min="56" max="56" width="11.85546875" customWidth="1"/>
    <col min="57" max="57" width="16.5703125" customWidth="1"/>
    <col min="58" max="58" width="15" customWidth="1"/>
    <col min="59" max="59" width="17.28515625" customWidth="1"/>
    <col min="60" max="60" width="15.28515625" customWidth="1"/>
    <col min="61" max="61" width="17.28515625" customWidth="1"/>
    <col min="62" max="62" width="17.42578125" customWidth="1"/>
  </cols>
  <sheetData>
    <row r="1" spans="1:62" ht="13.5" thickBot="1">
      <c r="B1" s="28"/>
      <c r="C1" s="30" t="s">
        <v>91</v>
      </c>
    </row>
    <row r="2" spans="1:62" ht="21" customHeight="1">
      <c r="A2" s="1710" t="s">
        <v>88</v>
      </c>
      <c r="B2" s="1710"/>
      <c r="C2" s="1739" t="s">
        <v>84</v>
      </c>
      <c r="D2" s="1740"/>
      <c r="E2" s="1740"/>
      <c r="F2" s="1740"/>
      <c r="G2" s="1740"/>
      <c r="H2" s="1740"/>
      <c r="I2" s="1740"/>
      <c r="J2" s="1740"/>
      <c r="K2" s="1740"/>
      <c r="L2" s="1740"/>
      <c r="M2" s="1740"/>
      <c r="N2" s="1740"/>
      <c r="O2" s="1740"/>
      <c r="P2" s="1747" t="s">
        <v>644</v>
      </c>
      <c r="Q2" s="1748"/>
      <c r="R2" s="1748"/>
      <c r="S2" s="1748"/>
      <c r="T2" s="1748"/>
      <c r="U2" s="1748"/>
      <c r="V2" s="1748"/>
      <c r="W2" s="1748"/>
      <c r="X2" s="1748"/>
      <c r="Y2" s="1748"/>
      <c r="Z2" s="1748"/>
      <c r="AA2" s="1748"/>
      <c r="AB2" s="1748"/>
      <c r="AC2" s="1748"/>
      <c r="AD2" s="1748"/>
      <c r="AE2" s="1748"/>
      <c r="AF2" s="1748"/>
      <c r="AG2" s="1748"/>
      <c r="AH2" s="442"/>
      <c r="AI2" s="443"/>
      <c r="AJ2" s="1655" t="s">
        <v>710</v>
      </c>
      <c r="AK2" s="1656"/>
      <c r="AL2" s="1682" t="s">
        <v>646</v>
      </c>
      <c r="AM2" s="1682"/>
      <c r="AN2" s="1682"/>
      <c r="AO2" s="1683"/>
      <c r="AP2" s="1683"/>
      <c r="AQ2" s="1683"/>
      <c r="AR2" s="1683"/>
      <c r="AS2" s="1683"/>
      <c r="AT2" s="1683"/>
      <c r="AU2" s="1683"/>
      <c r="AV2" s="1683"/>
      <c r="AW2" s="1683"/>
      <c r="AX2" s="1683"/>
      <c r="AY2" s="1683"/>
      <c r="AZ2" s="1683"/>
      <c r="BA2" s="1683"/>
      <c r="BB2" s="1683"/>
      <c r="BC2" s="1683"/>
      <c r="BD2" s="1683"/>
      <c r="BE2" s="1683"/>
      <c r="BF2" s="1683"/>
      <c r="BG2" s="1684"/>
      <c r="BH2" s="1655" t="s">
        <v>710</v>
      </c>
      <c r="BI2" s="1656"/>
    </row>
    <row r="3" spans="1:62" ht="16.899999999999999" customHeight="1">
      <c r="A3" s="1711"/>
      <c r="B3" s="1711"/>
      <c r="C3" s="1733" t="s">
        <v>651</v>
      </c>
      <c r="D3" s="1734"/>
      <c r="E3" s="1715" t="s">
        <v>654</v>
      </c>
      <c r="F3" s="1716"/>
      <c r="G3" s="1661" t="s">
        <v>653</v>
      </c>
      <c r="H3" s="1749" t="s">
        <v>652</v>
      </c>
      <c r="I3" s="1673" t="s">
        <v>66</v>
      </c>
      <c r="J3" s="1674"/>
      <c r="K3" s="1674"/>
      <c r="L3" s="1674"/>
      <c r="M3" s="1674"/>
      <c r="N3" s="1674"/>
      <c r="O3" s="436"/>
      <c r="P3" s="1741" t="s">
        <v>655</v>
      </c>
      <c r="Q3" s="1742"/>
      <c r="R3" s="1672" t="s">
        <v>661</v>
      </c>
      <c r="S3" s="1672"/>
      <c r="T3" s="1728" t="s">
        <v>663</v>
      </c>
      <c r="U3" s="1664" t="s">
        <v>66</v>
      </c>
      <c r="V3" s="1665"/>
      <c r="W3" s="1665"/>
      <c r="X3" s="1665"/>
      <c r="Y3" s="1665"/>
      <c r="Z3" s="1665"/>
      <c r="AA3" s="1665"/>
      <c r="AB3" s="1666"/>
      <c r="AC3" s="1722" t="s">
        <v>659</v>
      </c>
      <c r="AD3" s="1691" t="s">
        <v>66</v>
      </c>
      <c r="AE3" s="1691"/>
      <c r="AF3" s="1691"/>
      <c r="AG3" s="1752" t="s">
        <v>660</v>
      </c>
      <c r="AH3" s="1688" t="s">
        <v>80</v>
      </c>
      <c r="AI3" s="1704" t="s">
        <v>645</v>
      </c>
      <c r="AJ3" s="1696" t="s">
        <v>701</v>
      </c>
      <c r="AK3" s="1694" t="s">
        <v>700</v>
      </c>
      <c r="AL3" s="1672" t="s">
        <v>656</v>
      </c>
      <c r="AM3" s="1672"/>
      <c r="AN3" s="1755" t="s">
        <v>647</v>
      </c>
      <c r="AO3" s="1756"/>
      <c r="AP3" s="1757"/>
      <c r="AQ3" s="1728" t="s">
        <v>663</v>
      </c>
      <c r="AR3" s="1678" t="s">
        <v>66</v>
      </c>
      <c r="AS3" s="1678"/>
      <c r="AT3" s="1678"/>
      <c r="AU3" s="1678"/>
      <c r="AV3" s="1678"/>
      <c r="AW3" s="1678"/>
      <c r="AX3" s="1678"/>
      <c r="AY3" s="1678"/>
      <c r="AZ3" s="1678"/>
      <c r="BA3" s="1678"/>
      <c r="BB3" s="1678"/>
      <c r="BC3" s="1692" t="s">
        <v>662</v>
      </c>
      <c r="BD3" s="1692" t="s">
        <v>648</v>
      </c>
      <c r="BE3" s="1709" t="s">
        <v>649</v>
      </c>
      <c r="BF3" s="1704" t="s">
        <v>645</v>
      </c>
      <c r="BG3" s="1697" t="s">
        <v>83</v>
      </c>
      <c r="BH3" s="1696" t="s">
        <v>701</v>
      </c>
      <c r="BI3" s="1694" t="s">
        <v>700</v>
      </c>
    </row>
    <row r="4" spans="1:62" ht="25.15" customHeight="1">
      <c r="A4" s="1711"/>
      <c r="B4" s="1711"/>
      <c r="C4" s="1735"/>
      <c r="D4" s="1736"/>
      <c r="E4" s="1717"/>
      <c r="F4" s="1718"/>
      <c r="G4" s="1662"/>
      <c r="H4" s="1750"/>
      <c r="I4" s="1669" t="s">
        <v>63</v>
      </c>
      <c r="J4" s="1670"/>
      <c r="K4" s="1671"/>
      <c r="L4" s="430" t="s">
        <v>65</v>
      </c>
      <c r="M4" s="431"/>
      <c r="N4" s="431"/>
      <c r="O4" s="437"/>
      <c r="P4" s="1743"/>
      <c r="Q4" s="1744"/>
      <c r="R4" s="1672"/>
      <c r="S4" s="1672"/>
      <c r="T4" s="1729"/>
      <c r="U4" s="1669" t="s">
        <v>63</v>
      </c>
      <c r="V4" s="1670"/>
      <c r="W4" s="1670"/>
      <c r="X4" s="1671"/>
      <c r="Y4" s="1669" t="s">
        <v>65</v>
      </c>
      <c r="Z4" s="1670"/>
      <c r="AA4" s="1670"/>
      <c r="AB4" s="454"/>
      <c r="AC4" s="1723"/>
      <c r="AD4" s="1725" t="s">
        <v>658</v>
      </c>
      <c r="AE4" s="1731" t="s">
        <v>78</v>
      </c>
      <c r="AF4" s="427"/>
      <c r="AG4" s="1753"/>
      <c r="AH4" s="1689"/>
      <c r="AI4" s="1705"/>
      <c r="AJ4" s="1696"/>
      <c r="AK4" s="1695"/>
      <c r="AL4" s="1672"/>
      <c r="AM4" s="1672"/>
      <c r="AN4" s="1758"/>
      <c r="AO4" s="1759"/>
      <c r="AP4" s="1760"/>
      <c r="AQ4" s="1729"/>
      <c r="AR4" s="1698" t="s">
        <v>63</v>
      </c>
      <c r="AS4" s="1698"/>
      <c r="AT4" s="1698"/>
      <c r="AU4" s="1698"/>
      <c r="AV4" s="1701" t="s">
        <v>65</v>
      </c>
      <c r="AW4" s="1702"/>
      <c r="AX4" s="1702"/>
      <c r="AY4" s="1703"/>
      <c r="AZ4" s="1707" t="s">
        <v>78</v>
      </c>
      <c r="BA4" s="1707" t="s">
        <v>79</v>
      </c>
      <c r="BB4" s="1679" t="s">
        <v>82</v>
      </c>
      <c r="BC4" s="1693"/>
      <c r="BD4" s="1693"/>
      <c r="BE4" s="1709"/>
      <c r="BF4" s="1705"/>
      <c r="BG4" s="1697"/>
      <c r="BH4" s="1696"/>
      <c r="BI4" s="1695"/>
    </row>
    <row r="5" spans="1:62" ht="14.45" customHeight="1">
      <c r="A5" s="1711"/>
      <c r="B5" s="1711"/>
      <c r="C5" s="1737"/>
      <c r="D5" s="1738"/>
      <c r="E5" s="1719"/>
      <c r="F5" s="1720"/>
      <c r="G5" s="1662"/>
      <c r="H5" s="1750"/>
      <c r="I5" s="434"/>
      <c r="J5" s="434" t="s">
        <v>66</v>
      </c>
      <c r="K5" s="435"/>
      <c r="L5" s="1659" t="s">
        <v>81</v>
      </c>
      <c r="M5" s="1657" t="s">
        <v>66</v>
      </c>
      <c r="N5" s="1658"/>
      <c r="O5" s="1658"/>
      <c r="P5" s="1745"/>
      <c r="Q5" s="1746"/>
      <c r="R5" s="458"/>
      <c r="S5" s="457"/>
      <c r="T5" s="1729"/>
      <c r="U5" s="1667" t="s">
        <v>81</v>
      </c>
      <c r="V5" s="1675" t="s">
        <v>66</v>
      </c>
      <c r="W5" s="1676"/>
      <c r="X5" s="1677"/>
      <c r="Y5" s="452" t="s">
        <v>81</v>
      </c>
      <c r="Z5" s="1675" t="s">
        <v>66</v>
      </c>
      <c r="AA5" s="1680"/>
      <c r="AB5" s="1681"/>
      <c r="AC5" s="1723"/>
      <c r="AD5" s="1726"/>
      <c r="AE5" s="1731"/>
      <c r="AF5" s="427"/>
      <c r="AG5" s="1753"/>
      <c r="AH5" s="1689"/>
      <c r="AI5" s="1705"/>
      <c r="AJ5" s="1696"/>
      <c r="AK5" s="1695"/>
      <c r="AL5" s="458"/>
      <c r="AM5" s="457"/>
      <c r="AN5" s="1231"/>
      <c r="AO5" s="1721" t="s">
        <v>63</v>
      </c>
      <c r="AP5" s="1721" t="s">
        <v>64</v>
      </c>
      <c r="AQ5" s="1729"/>
      <c r="AR5" s="1699" t="s">
        <v>81</v>
      </c>
      <c r="AS5" s="1712" t="s">
        <v>66</v>
      </c>
      <c r="AT5" s="1713"/>
      <c r="AU5" s="1714"/>
      <c r="AV5" s="1699" t="s">
        <v>81</v>
      </c>
      <c r="AW5" s="1712" t="s">
        <v>66</v>
      </c>
      <c r="AX5" s="1713"/>
      <c r="AY5" s="1714"/>
      <c r="AZ5" s="1708"/>
      <c r="BA5" s="1708"/>
      <c r="BB5" s="1679"/>
      <c r="BC5" s="1693"/>
      <c r="BD5" s="1693"/>
      <c r="BE5" s="1709"/>
      <c r="BF5" s="1705"/>
      <c r="BG5" s="1697"/>
      <c r="BH5" s="1696"/>
      <c r="BI5" s="1695"/>
    </row>
    <row r="6" spans="1:62" ht="42.6" customHeight="1">
      <c r="A6" s="1711"/>
      <c r="B6" s="1711"/>
      <c r="C6" s="12" t="s">
        <v>63</v>
      </c>
      <c r="D6" s="12" t="s">
        <v>64</v>
      </c>
      <c r="E6" s="12" t="s">
        <v>63</v>
      </c>
      <c r="F6" s="12" t="s">
        <v>64</v>
      </c>
      <c r="G6" s="1663"/>
      <c r="H6" s="1751"/>
      <c r="I6" s="12" t="s">
        <v>95</v>
      </c>
      <c r="J6" s="12" t="s">
        <v>68</v>
      </c>
      <c r="K6" s="12" t="s">
        <v>69</v>
      </c>
      <c r="L6" s="1660"/>
      <c r="M6" s="12" t="s">
        <v>67</v>
      </c>
      <c r="N6" s="12" t="s">
        <v>68</v>
      </c>
      <c r="O6" s="438" t="s">
        <v>69</v>
      </c>
      <c r="P6" s="450" t="s">
        <v>63</v>
      </c>
      <c r="Q6" s="451" t="s">
        <v>64</v>
      </c>
      <c r="R6" s="459" t="s">
        <v>63</v>
      </c>
      <c r="S6" s="429" t="s">
        <v>657</v>
      </c>
      <c r="T6" s="1730"/>
      <c r="U6" s="1668"/>
      <c r="V6" s="12" t="s">
        <v>95</v>
      </c>
      <c r="W6" s="449" t="s">
        <v>642</v>
      </c>
      <c r="X6" s="449" t="s">
        <v>643</v>
      </c>
      <c r="Y6" s="453"/>
      <c r="Z6" s="12" t="s">
        <v>67</v>
      </c>
      <c r="AA6" s="449" t="s">
        <v>68</v>
      </c>
      <c r="AB6" s="449" t="s">
        <v>69</v>
      </c>
      <c r="AC6" s="1724"/>
      <c r="AD6" s="1727"/>
      <c r="AE6" s="1732"/>
      <c r="AF6" s="428" t="s">
        <v>79</v>
      </c>
      <c r="AG6" s="1754"/>
      <c r="AH6" s="1690"/>
      <c r="AI6" s="1706"/>
      <c r="AJ6" s="1696"/>
      <c r="AK6" s="1695"/>
      <c r="AL6" s="459" t="s">
        <v>63</v>
      </c>
      <c r="AM6" s="429" t="s">
        <v>657</v>
      </c>
      <c r="AN6" s="1232" t="s">
        <v>825</v>
      </c>
      <c r="AO6" s="1721"/>
      <c r="AP6" s="1721"/>
      <c r="AQ6" s="1730"/>
      <c r="AR6" s="1700"/>
      <c r="AS6" s="12" t="s">
        <v>67</v>
      </c>
      <c r="AT6" s="12" t="s">
        <v>68</v>
      </c>
      <c r="AU6" s="12" t="s">
        <v>69</v>
      </c>
      <c r="AV6" s="1700"/>
      <c r="AW6" s="12" t="s">
        <v>67</v>
      </c>
      <c r="AX6" s="12" t="s">
        <v>68</v>
      </c>
      <c r="AY6" s="12" t="s">
        <v>69</v>
      </c>
      <c r="AZ6" s="1708"/>
      <c r="BA6" s="1708"/>
      <c r="BB6" s="1679"/>
      <c r="BC6" s="1693"/>
      <c r="BD6" s="1693"/>
      <c r="BE6" s="1709"/>
      <c r="BF6" s="1706"/>
      <c r="BG6" s="1697"/>
      <c r="BH6" s="1696"/>
      <c r="BI6" s="1695"/>
    </row>
    <row r="7" spans="1:62" s="21" customFormat="1" ht="12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20">
        <v>33</v>
      </c>
      <c r="AH7" s="20">
        <v>34</v>
      </c>
      <c r="AI7" s="20">
        <v>35</v>
      </c>
      <c r="AJ7" s="20"/>
      <c r="AK7" s="20"/>
      <c r="AL7" s="20">
        <v>36</v>
      </c>
      <c r="AM7" s="20">
        <v>37</v>
      </c>
      <c r="AN7" s="20"/>
      <c r="AO7" s="20">
        <v>38</v>
      </c>
      <c r="AP7" s="20">
        <v>39</v>
      </c>
      <c r="AQ7" s="20">
        <v>40</v>
      </c>
      <c r="AR7" s="20">
        <v>41</v>
      </c>
      <c r="AS7" s="20">
        <v>42</v>
      </c>
      <c r="AT7" s="20">
        <v>43</v>
      </c>
      <c r="AU7" s="20">
        <v>44</v>
      </c>
      <c r="AV7" s="20">
        <v>45</v>
      </c>
      <c r="AW7" s="20">
        <v>46</v>
      </c>
      <c r="AX7" s="20">
        <v>47</v>
      </c>
      <c r="AY7" s="20">
        <v>48</v>
      </c>
      <c r="AZ7" s="20">
        <v>49</v>
      </c>
      <c r="BA7" s="20">
        <v>50</v>
      </c>
      <c r="BB7" s="20">
        <v>51</v>
      </c>
      <c r="BC7" s="20">
        <v>52</v>
      </c>
      <c r="BD7" s="20">
        <v>53</v>
      </c>
      <c r="BE7" s="20">
        <v>54</v>
      </c>
      <c r="BF7" s="20">
        <v>55</v>
      </c>
      <c r="BG7" s="864">
        <v>56</v>
      </c>
      <c r="BH7" s="864"/>
      <c r="BI7" s="850"/>
    </row>
    <row r="8" spans="1:62" ht="19.149999999999999" customHeight="1">
      <c r="A8" s="25">
        <v>1</v>
      </c>
      <c r="B8" s="15" t="s">
        <v>87</v>
      </c>
      <c r="C8" s="27">
        <f>SUM(C9:C15)</f>
        <v>4310.3999999999996</v>
      </c>
      <c r="D8" s="27">
        <f>SUM(D9:D15)</f>
        <v>187.5</v>
      </c>
      <c r="E8" s="27">
        <f>SUM(E9:E15)</f>
        <v>1284521.7</v>
      </c>
      <c r="F8" s="27">
        <f>SUM(F9:F15)</f>
        <v>28400.2</v>
      </c>
      <c r="G8" s="16">
        <v>25021.52</v>
      </c>
      <c r="H8" s="27">
        <f>SUM(H9:H15)</f>
        <v>1284521.7</v>
      </c>
      <c r="I8" s="27">
        <f t="shared" ref="I8:AG8" si="0">SUM(I9:I15)</f>
        <v>1274810.2999999998</v>
      </c>
      <c r="J8" s="27">
        <f t="shared" si="0"/>
        <v>9711.4</v>
      </c>
      <c r="K8" s="27">
        <f t="shared" si="0"/>
        <v>0</v>
      </c>
      <c r="L8" s="27">
        <f t="shared" si="0"/>
        <v>28400.2</v>
      </c>
      <c r="M8" s="27">
        <f t="shared" si="0"/>
        <v>28300.9</v>
      </c>
      <c r="N8" s="27">
        <f t="shared" si="0"/>
        <v>99.3</v>
      </c>
      <c r="O8" s="27">
        <f t="shared" si="0"/>
        <v>64.40000000000002</v>
      </c>
      <c r="P8" s="27">
        <f t="shared" si="0"/>
        <v>4374.7999999999993</v>
      </c>
      <c r="Q8" s="27">
        <f t="shared" si="0"/>
        <v>187.8</v>
      </c>
      <c r="R8" s="16">
        <v>25021.52</v>
      </c>
      <c r="S8" s="16"/>
      <c r="T8" s="27">
        <f t="shared" ref="T8:AB8" si="1">SUM(T9:T15)</f>
        <v>1334160212.4999998</v>
      </c>
      <c r="U8" s="27">
        <f t="shared" si="1"/>
        <v>1305286516.9100001</v>
      </c>
      <c r="V8" s="27">
        <f t="shared" si="1"/>
        <v>1294198116.9100001</v>
      </c>
      <c r="W8" s="27">
        <f t="shared" si="1"/>
        <v>11088400</v>
      </c>
      <c r="X8" s="27">
        <f t="shared" si="1"/>
        <v>0</v>
      </c>
      <c r="Y8" s="27">
        <f t="shared" si="1"/>
        <v>28873695.590000004</v>
      </c>
      <c r="Z8" s="27">
        <f t="shared" si="1"/>
        <v>28787995.590000004</v>
      </c>
      <c r="AA8" s="27">
        <f t="shared" si="1"/>
        <v>85700</v>
      </c>
      <c r="AB8" s="27">
        <f t="shared" si="1"/>
        <v>0</v>
      </c>
      <c r="AC8" s="27">
        <f t="shared" si="0"/>
        <v>1334160212.4999998</v>
      </c>
      <c r="AD8" s="27">
        <f t="shared" si="0"/>
        <v>1322986112.4999998</v>
      </c>
      <c r="AE8" s="27">
        <f t="shared" si="0"/>
        <v>11174100</v>
      </c>
      <c r="AF8" s="27">
        <f t="shared" si="0"/>
        <v>0</v>
      </c>
      <c r="AG8" s="16">
        <f t="shared" si="0"/>
        <v>1722527918.47</v>
      </c>
      <c r="AH8" s="16">
        <v>125042100</v>
      </c>
      <c r="AI8" s="16">
        <v>1843559275.6099999</v>
      </c>
      <c r="AJ8" s="765">
        <f>AH8+AG8</f>
        <v>1847570018.47</v>
      </c>
      <c r="AK8" s="1087">
        <f>AJ8-AI8</f>
        <v>4010742.8600001335</v>
      </c>
      <c r="AL8" s="16">
        <f>ROUND((J8+E8)/C8/12*1000,2)</f>
        <v>25021.52</v>
      </c>
      <c r="AM8" s="16"/>
      <c r="AN8" s="16">
        <f>AN9+AN10+AN11+AN12+AN13+AN14+AN15</f>
        <v>26.199999999999982</v>
      </c>
      <c r="AO8" s="16">
        <f>AO9+AO10+AO11+AO12+AO13+AO14+AO15</f>
        <v>4401</v>
      </c>
      <c r="AP8" s="16">
        <f t="shared" ref="AP8:BC8" si="2">AP9+AP10+AP11+AP12+AP13+AP14+AP15</f>
        <v>188.5</v>
      </c>
      <c r="AQ8" s="16">
        <f>SUM(AQ9:AQ15)</f>
        <v>1342537477.1599998</v>
      </c>
      <c r="AR8" s="16">
        <f t="shared" si="2"/>
        <v>1313564585.5999999</v>
      </c>
      <c r="AS8" s="16">
        <f t="shared" si="2"/>
        <v>1302476185.5999999</v>
      </c>
      <c r="AT8" s="16">
        <f t="shared" si="2"/>
        <v>11088400</v>
      </c>
      <c r="AU8" s="16">
        <f t="shared" si="2"/>
        <v>0</v>
      </c>
      <c r="AV8" s="16">
        <f t="shared" si="2"/>
        <v>28972891.559999999</v>
      </c>
      <c r="AW8" s="16">
        <f>AW9+AW10+AW11+AW12+AW13+AW14+AW15</f>
        <v>28887191.560000002</v>
      </c>
      <c r="AX8" s="16">
        <f t="shared" si="2"/>
        <v>85700</v>
      </c>
      <c r="AY8" s="16">
        <f t="shared" si="2"/>
        <v>0</v>
      </c>
      <c r="AZ8" s="16">
        <f t="shared" si="2"/>
        <v>11174100</v>
      </c>
      <c r="BA8" s="16">
        <f t="shared" si="2"/>
        <v>0</v>
      </c>
      <c r="BB8" s="16">
        <f t="shared" si="2"/>
        <v>1331363377.1599998</v>
      </c>
      <c r="BC8" s="16">
        <f t="shared" si="2"/>
        <v>1733435117.0999999</v>
      </c>
      <c r="BD8" s="16"/>
      <c r="BE8" s="16">
        <f>BD8+BC8</f>
        <v>1733435117.0999999</v>
      </c>
      <c r="BF8" s="16">
        <v>1843559275.6099999</v>
      </c>
      <c r="BG8" s="908">
        <f>BE8-BF8</f>
        <v>-110124158.50999999</v>
      </c>
      <c r="BH8" s="875">
        <f>AG8+AH8</f>
        <v>1847570018.47</v>
      </c>
      <c r="BI8" s="907">
        <f>BH8-AI8</f>
        <v>4010742.8600001335</v>
      </c>
      <c r="BJ8" s="456">
        <f>AG8+AH8</f>
        <v>1847570018.47</v>
      </c>
    </row>
    <row r="9" spans="1:62" ht="22.9" customHeight="1">
      <c r="A9" s="11">
        <v>1</v>
      </c>
      <c r="B9" s="909" t="s">
        <v>71</v>
      </c>
      <c r="C9" s="695">
        <v>67</v>
      </c>
      <c r="D9" s="695">
        <v>0</v>
      </c>
      <c r="E9" s="11">
        <v>49155.8</v>
      </c>
      <c r="F9" s="11"/>
      <c r="G9" s="696">
        <v>61139.05</v>
      </c>
      <c r="H9" s="684">
        <f>I9+J9+K9</f>
        <v>49155.8</v>
      </c>
      <c r="I9" s="11">
        <f>E9-K9-J9</f>
        <v>48871.4</v>
      </c>
      <c r="J9" s="11">
        <v>284.39999999999998</v>
      </c>
      <c r="K9" s="11"/>
      <c r="L9" s="545">
        <f t="shared" ref="L9:L15" si="3">M9+N9</f>
        <v>0</v>
      </c>
      <c r="M9" s="11">
        <f>F9-N9</f>
        <v>0</v>
      </c>
      <c r="N9" s="11"/>
      <c r="O9" s="861">
        <f>P9-C9</f>
        <v>0.90000000000000568</v>
      </c>
      <c r="P9" s="695">
        <v>67.900000000000006</v>
      </c>
      <c r="Q9" s="695">
        <v>0</v>
      </c>
      <c r="R9" s="696">
        <v>61139.05</v>
      </c>
      <c r="S9" s="696"/>
      <c r="T9" s="698">
        <f>U9+Y9</f>
        <v>49816097.939999998</v>
      </c>
      <c r="U9" s="699">
        <f t="shared" ref="U9:U15" si="4">ROUND(R9*P9*12,2)</f>
        <v>49816097.939999998</v>
      </c>
      <c r="V9" s="433">
        <f>U9-W9-X9</f>
        <v>49529297.939999998</v>
      </c>
      <c r="W9" s="11">
        <f>286.8*1000</f>
        <v>286800</v>
      </c>
      <c r="X9" s="11"/>
      <c r="Y9" s="699">
        <f>ROUND(S9*Q9*12,2)</f>
        <v>0</v>
      </c>
      <c r="Z9" s="11">
        <f>Y9-AA9-AB9</f>
        <v>0</v>
      </c>
      <c r="AA9" s="11"/>
      <c r="AB9" s="11"/>
      <c r="AC9" s="698">
        <f>AD9+AE9+AF9</f>
        <v>49816097.939999998</v>
      </c>
      <c r="AD9" s="433">
        <f>ROUND((Z9+V9),2)</f>
        <v>49529297.939999998</v>
      </c>
      <c r="AE9" s="11">
        <f>AA9+W9</f>
        <v>286800</v>
      </c>
      <c r="AF9" s="11">
        <f>AB9+X9</f>
        <v>0</v>
      </c>
      <c r="AG9" s="700">
        <f>ROUND(AD9*1.302,2)</f>
        <v>64487145.920000002</v>
      </c>
      <c r="AH9" s="11"/>
      <c r="AI9" s="1082"/>
      <c r="AJ9" s="910"/>
      <c r="AK9" s="1085"/>
      <c r="AL9" s="696">
        <v>61139.05</v>
      </c>
      <c r="AM9" s="696">
        <f>S9</f>
        <v>0</v>
      </c>
      <c r="AN9" s="1233">
        <f>AO9-P9</f>
        <v>9.9999999999994316E-2</v>
      </c>
      <c r="AO9" s="695">
        <v>68</v>
      </c>
      <c r="AP9" s="695"/>
      <c r="AQ9" s="698">
        <f>AR9+AV9</f>
        <v>49889464.799999997</v>
      </c>
      <c r="AR9" s="684">
        <f>ROUND((AL9*AO9*12),1)</f>
        <v>49889464.799999997</v>
      </c>
      <c r="AS9" s="11">
        <f>AR9-AT9-AU9</f>
        <v>49602664.799999997</v>
      </c>
      <c r="AT9" s="11">
        <f>W9</f>
        <v>286800</v>
      </c>
      <c r="AU9" s="11">
        <f>X9</f>
        <v>0</v>
      </c>
      <c r="AV9" s="684">
        <f>ROUND(AM9*AP9*12,2)</f>
        <v>0</v>
      </c>
      <c r="AW9" s="11">
        <f>AV9-AX9-AY9</f>
        <v>0</v>
      </c>
      <c r="AX9" s="11">
        <f>AA9</f>
        <v>0</v>
      </c>
      <c r="AY9" s="11">
        <f>AB9</f>
        <v>0</v>
      </c>
      <c r="AZ9" s="18">
        <f>AX9+AT9</f>
        <v>286800</v>
      </c>
      <c r="BA9" s="18">
        <f t="shared" ref="BA9:BA15" si="5">AY9+AU9</f>
        <v>0</v>
      </c>
      <c r="BB9" s="703">
        <f>AW9+AS9</f>
        <v>49602664.799999997</v>
      </c>
      <c r="BC9" s="700">
        <f>ROUND(BB9*1.302,1)</f>
        <v>64582669.600000001</v>
      </c>
      <c r="BD9" s="700"/>
      <c r="BE9" s="11"/>
      <c r="BF9" s="910"/>
      <c r="BG9" s="11"/>
      <c r="BH9" s="11"/>
      <c r="BI9" s="11"/>
    </row>
    <row r="10" spans="1:62" ht="19.899999999999999" customHeight="1">
      <c r="A10" s="11">
        <v>2</v>
      </c>
      <c r="B10" s="909" t="s">
        <v>72</v>
      </c>
      <c r="C10" s="695">
        <v>325.8</v>
      </c>
      <c r="D10" s="695">
        <v>0.3</v>
      </c>
      <c r="E10" s="11">
        <v>172467.3</v>
      </c>
      <c r="F10" s="11">
        <v>89.4</v>
      </c>
      <c r="G10" s="696">
        <v>44113.8</v>
      </c>
      <c r="H10" s="684">
        <f t="shared" ref="H10:H15" si="6">I10+J10+K10</f>
        <v>172467.3</v>
      </c>
      <c r="I10" s="11">
        <f t="shared" ref="I10:I15" si="7">E10-K10-J10</f>
        <v>171205.09999999998</v>
      </c>
      <c r="J10" s="11">
        <v>1262.2</v>
      </c>
      <c r="K10" s="11"/>
      <c r="L10" s="545">
        <f t="shared" si="3"/>
        <v>89.4</v>
      </c>
      <c r="M10" s="11">
        <f t="shared" ref="M10:M15" si="8">F10-N10</f>
        <v>89.4</v>
      </c>
      <c r="N10" s="11"/>
      <c r="O10" s="861">
        <f t="shared" ref="O10:O15" si="9">P10-C10</f>
        <v>2</v>
      </c>
      <c r="P10" s="695">
        <v>327.8</v>
      </c>
      <c r="Q10" s="695">
        <v>0</v>
      </c>
      <c r="R10" s="696">
        <v>44113.8</v>
      </c>
      <c r="S10" s="696">
        <f t="shared" ref="S10:S15" si="10">ROUND(F10/D10/12*1000,2)</f>
        <v>24833.33</v>
      </c>
      <c r="T10" s="698">
        <f t="shared" ref="T10:T15" si="11">U10+Y10</f>
        <v>173526043.68000001</v>
      </c>
      <c r="U10" s="699">
        <f t="shared" si="4"/>
        <v>173526043.68000001</v>
      </c>
      <c r="V10" s="433">
        <f t="shared" ref="V10:V15" si="12">U10-W10-X10</f>
        <v>172317543.68000001</v>
      </c>
      <c r="W10" s="11">
        <f>1208.5*1000</f>
        <v>1208500</v>
      </c>
      <c r="X10" s="11"/>
      <c r="Y10" s="699">
        <f t="shared" ref="Y10:Y15" si="13">ROUND(S10*Q10*12,2)</f>
        <v>0</v>
      </c>
      <c r="Z10" s="11">
        <f t="shared" ref="Z10:Z15" si="14">Y10-AA10-AB10</f>
        <v>0</v>
      </c>
      <c r="AA10" s="11"/>
      <c r="AB10" s="11"/>
      <c r="AC10" s="698">
        <f t="shared" ref="AC10:AC15" si="15">AD10+AE10+AF10</f>
        <v>173526043.68000001</v>
      </c>
      <c r="AD10" s="433">
        <f t="shared" ref="AD10:AD15" si="16">ROUND((Z10+V10),2)</f>
        <v>172317543.68000001</v>
      </c>
      <c r="AE10" s="11">
        <f t="shared" ref="AE10:AF15" si="17">AA10+W10</f>
        <v>1208500</v>
      </c>
      <c r="AF10" s="11">
        <f t="shared" si="17"/>
        <v>0</v>
      </c>
      <c r="AG10" s="700">
        <f t="shared" ref="AG10:AG15" si="18">ROUND(AD10*1.302,2)</f>
        <v>224357441.87</v>
      </c>
      <c r="AH10" s="433"/>
      <c r="AI10" s="1082"/>
      <c r="AJ10" s="910"/>
      <c r="AK10" s="1085"/>
      <c r="AL10" s="696">
        <v>44113.8</v>
      </c>
      <c r="AM10" s="696">
        <f t="shared" ref="AM10:AM15" si="19">S10</f>
        <v>24833.33</v>
      </c>
      <c r="AN10" s="1233">
        <f>AO10-P10</f>
        <v>0.19999999999998863</v>
      </c>
      <c r="AO10" s="695">
        <v>328</v>
      </c>
      <c r="AP10" s="695"/>
      <c r="AQ10" s="698">
        <f t="shared" ref="AQ10:AQ15" si="20">AR10+AV10</f>
        <v>173631916.80000001</v>
      </c>
      <c r="AR10" s="684">
        <f t="shared" ref="AR10:AR15" si="21">ROUND((AL10*AO10*12),1)</f>
        <v>173631916.80000001</v>
      </c>
      <c r="AS10" s="11">
        <f t="shared" ref="AS10:AS15" si="22">AR10-AT10-AU10</f>
        <v>172423416.80000001</v>
      </c>
      <c r="AT10" s="11">
        <f t="shared" ref="AT10:AU15" si="23">W10</f>
        <v>1208500</v>
      </c>
      <c r="AU10" s="11">
        <f t="shared" si="23"/>
        <v>0</v>
      </c>
      <c r="AV10" s="684">
        <f t="shared" ref="AV10:AV15" si="24">ROUND(AM10*AP10*12,2)</f>
        <v>0</v>
      </c>
      <c r="AW10" s="11">
        <f t="shared" ref="AW10:AW15" si="25">AV10-AX10-AY10</f>
        <v>0</v>
      </c>
      <c r="AX10" s="11">
        <f t="shared" ref="AX10:AY15" si="26">AA10</f>
        <v>0</v>
      </c>
      <c r="AY10" s="11">
        <f t="shared" si="26"/>
        <v>0</v>
      </c>
      <c r="AZ10" s="18">
        <f t="shared" ref="AZ10:AZ15" si="27">AX10+AT10</f>
        <v>1208500</v>
      </c>
      <c r="BA10" s="18">
        <f t="shared" si="5"/>
        <v>0</v>
      </c>
      <c r="BB10" s="703">
        <f t="shared" ref="BB10:BB15" si="28">AW10+AS10</f>
        <v>172423416.80000001</v>
      </c>
      <c r="BC10" s="700">
        <f t="shared" ref="BC10:BC15" si="29">ROUND(BB10*1.302,1)</f>
        <v>224495288.69999999</v>
      </c>
      <c r="BD10" s="700"/>
      <c r="BE10" s="11"/>
      <c r="BF10" s="910"/>
      <c r="BG10" s="11"/>
      <c r="BH10" s="11"/>
      <c r="BI10" s="11"/>
    </row>
    <row r="11" spans="1:62" ht="19.899999999999999" customHeight="1">
      <c r="A11" s="11">
        <v>3</v>
      </c>
      <c r="B11" s="911" t="s">
        <v>76</v>
      </c>
      <c r="C11" s="695">
        <v>2887</v>
      </c>
      <c r="D11" s="695">
        <v>77.7</v>
      </c>
      <c r="E11" s="11">
        <v>907915.9</v>
      </c>
      <c r="F11" s="11">
        <v>14890.6</v>
      </c>
      <c r="G11" s="705">
        <v>26135.9</v>
      </c>
      <c r="H11" s="684">
        <f t="shared" si="6"/>
        <v>907915.9</v>
      </c>
      <c r="I11" s="11">
        <f t="shared" si="7"/>
        <v>900641.70000000007</v>
      </c>
      <c r="J11" s="11">
        <v>7274.2</v>
      </c>
      <c r="K11" s="11"/>
      <c r="L11" s="545">
        <f t="shared" si="3"/>
        <v>14890.6</v>
      </c>
      <c r="M11" s="11">
        <f t="shared" si="8"/>
        <v>14804</v>
      </c>
      <c r="N11" s="11">
        <v>86.6</v>
      </c>
      <c r="O11" s="861">
        <f t="shared" si="9"/>
        <v>75</v>
      </c>
      <c r="P11" s="695">
        <v>2962</v>
      </c>
      <c r="Q11" s="695">
        <v>84.8</v>
      </c>
      <c r="R11" s="705">
        <v>26135.9</v>
      </c>
      <c r="S11" s="696">
        <f t="shared" si="10"/>
        <v>15970.18</v>
      </c>
      <c r="T11" s="698">
        <f t="shared" si="11"/>
        <v>945225684.76999998</v>
      </c>
      <c r="U11" s="699">
        <f t="shared" si="4"/>
        <v>928974429.60000002</v>
      </c>
      <c r="V11" s="433">
        <f t="shared" si="12"/>
        <v>920291829.60000002</v>
      </c>
      <c r="W11" s="11">
        <f>8682.6*1000</f>
        <v>8682600</v>
      </c>
      <c r="X11" s="11"/>
      <c r="Y11" s="699">
        <f t="shared" si="13"/>
        <v>16251255.17</v>
      </c>
      <c r="Z11" s="11">
        <f t="shared" si="14"/>
        <v>16174255.17</v>
      </c>
      <c r="AA11" s="11">
        <f>77*1000</f>
        <v>77000</v>
      </c>
      <c r="AB11" s="11"/>
      <c r="AC11" s="698">
        <f t="shared" si="15"/>
        <v>945225684.76999998</v>
      </c>
      <c r="AD11" s="433">
        <f t="shared" si="16"/>
        <v>936466084.76999998</v>
      </c>
      <c r="AE11" s="11">
        <f t="shared" si="17"/>
        <v>8759600</v>
      </c>
      <c r="AF11" s="11">
        <f t="shared" si="17"/>
        <v>0</v>
      </c>
      <c r="AG11" s="700">
        <f t="shared" si="18"/>
        <v>1219278842.3699999</v>
      </c>
      <c r="AH11" s="11"/>
      <c r="AI11" s="1082"/>
      <c r="AJ11" s="910"/>
      <c r="AK11" s="1085"/>
      <c r="AL11" s="705">
        <v>26135.9</v>
      </c>
      <c r="AM11" s="696">
        <f t="shared" si="19"/>
        <v>15970.18</v>
      </c>
      <c r="AN11" s="1233">
        <f>AO11-P11</f>
        <v>25</v>
      </c>
      <c r="AO11" s="901">
        <v>2987</v>
      </c>
      <c r="AP11" s="695">
        <v>85</v>
      </c>
      <c r="AQ11" s="698">
        <f t="shared" si="20"/>
        <v>953104783.20000005</v>
      </c>
      <c r="AR11" s="684">
        <f t="shared" si="21"/>
        <v>936815199.60000002</v>
      </c>
      <c r="AS11" s="11">
        <f t="shared" si="22"/>
        <v>928132599.60000002</v>
      </c>
      <c r="AT11" s="11">
        <f t="shared" si="23"/>
        <v>8682600</v>
      </c>
      <c r="AU11" s="11">
        <f t="shared" si="23"/>
        <v>0</v>
      </c>
      <c r="AV11" s="684">
        <f t="shared" si="24"/>
        <v>16289583.6</v>
      </c>
      <c r="AW11" s="11">
        <f t="shared" si="25"/>
        <v>16212583.6</v>
      </c>
      <c r="AX11" s="11">
        <f t="shared" si="26"/>
        <v>77000</v>
      </c>
      <c r="AY11" s="11">
        <f t="shared" si="26"/>
        <v>0</v>
      </c>
      <c r="AZ11" s="18">
        <f t="shared" si="27"/>
        <v>8759600</v>
      </c>
      <c r="BA11" s="18">
        <f t="shared" si="5"/>
        <v>0</v>
      </c>
      <c r="BB11" s="703">
        <f t="shared" si="28"/>
        <v>944345183.20000005</v>
      </c>
      <c r="BC11" s="700">
        <f t="shared" si="29"/>
        <v>1229537428.5</v>
      </c>
      <c r="BD11" s="700"/>
      <c r="BE11" s="11"/>
      <c r="BF11" s="910"/>
      <c r="BG11" s="11"/>
      <c r="BH11" s="11"/>
      <c r="BI11" s="11"/>
    </row>
    <row r="12" spans="1:62" ht="19.899999999999999" customHeight="1">
      <c r="A12" s="11">
        <v>4</v>
      </c>
      <c r="B12" s="911" t="s">
        <v>77</v>
      </c>
      <c r="C12" s="695">
        <v>13.2</v>
      </c>
      <c r="D12" s="695">
        <v>1</v>
      </c>
      <c r="E12" s="11">
        <v>2404.5</v>
      </c>
      <c r="F12" s="11">
        <v>148.19999999999999</v>
      </c>
      <c r="G12" s="707">
        <v>15179.92</v>
      </c>
      <c r="H12" s="684">
        <f t="shared" si="6"/>
        <v>2404.5</v>
      </c>
      <c r="I12" s="11">
        <f t="shared" si="7"/>
        <v>2404.5</v>
      </c>
      <c r="J12" s="11">
        <v>0</v>
      </c>
      <c r="K12" s="11"/>
      <c r="L12" s="545">
        <f t="shared" si="3"/>
        <v>148.19999999999999</v>
      </c>
      <c r="M12" s="11">
        <f t="shared" si="8"/>
        <v>148.19999999999999</v>
      </c>
      <c r="N12" s="11"/>
      <c r="O12" s="861">
        <f t="shared" si="9"/>
        <v>0.80000000000000071</v>
      </c>
      <c r="P12" s="695">
        <v>14</v>
      </c>
      <c r="Q12" s="695">
        <v>1</v>
      </c>
      <c r="R12" s="707">
        <v>15179.92</v>
      </c>
      <c r="S12" s="696">
        <f t="shared" si="10"/>
        <v>12350</v>
      </c>
      <c r="T12" s="698">
        <f t="shared" si="11"/>
        <v>2698426.56</v>
      </c>
      <c r="U12" s="699">
        <f t="shared" si="4"/>
        <v>2550226.56</v>
      </c>
      <c r="V12" s="433">
        <f t="shared" si="12"/>
        <v>2550226.56</v>
      </c>
      <c r="W12" s="11"/>
      <c r="X12" s="11"/>
      <c r="Y12" s="699">
        <f t="shared" si="13"/>
        <v>148200</v>
      </c>
      <c r="Z12" s="11">
        <f t="shared" si="14"/>
        <v>148200</v>
      </c>
      <c r="AA12" s="11"/>
      <c r="AB12" s="11"/>
      <c r="AC12" s="698">
        <f t="shared" si="15"/>
        <v>2698426.56</v>
      </c>
      <c r="AD12" s="433">
        <f t="shared" si="16"/>
        <v>2698426.56</v>
      </c>
      <c r="AE12" s="11">
        <f t="shared" si="17"/>
        <v>0</v>
      </c>
      <c r="AF12" s="11">
        <f t="shared" si="17"/>
        <v>0</v>
      </c>
      <c r="AG12" s="700">
        <f t="shared" si="18"/>
        <v>3513351.38</v>
      </c>
      <c r="AH12" s="433"/>
      <c r="AI12" s="1082"/>
      <c r="AJ12" s="910"/>
      <c r="AK12" s="1085"/>
      <c r="AL12" s="707">
        <v>15179.92</v>
      </c>
      <c r="AM12" s="696">
        <f t="shared" si="19"/>
        <v>12350</v>
      </c>
      <c r="AN12" s="1233"/>
      <c r="AO12" s="695">
        <v>14</v>
      </c>
      <c r="AP12" s="695">
        <v>1</v>
      </c>
      <c r="AQ12" s="698">
        <f t="shared" si="20"/>
        <v>2698426.6</v>
      </c>
      <c r="AR12" s="684">
        <f t="shared" si="21"/>
        <v>2550226.6</v>
      </c>
      <c r="AS12" s="11">
        <f t="shared" si="22"/>
        <v>2550226.6</v>
      </c>
      <c r="AT12" s="11">
        <f t="shared" si="23"/>
        <v>0</v>
      </c>
      <c r="AU12" s="11">
        <f t="shared" si="23"/>
        <v>0</v>
      </c>
      <c r="AV12" s="684">
        <f t="shared" si="24"/>
        <v>148200</v>
      </c>
      <c r="AW12" s="11">
        <f t="shared" si="25"/>
        <v>148200</v>
      </c>
      <c r="AX12" s="11">
        <f t="shared" si="26"/>
        <v>0</v>
      </c>
      <c r="AY12" s="11">
        <f t="shared" si="26"/>
        <v>0</v>
      </c>
      <c r="AZ12" s="18">
        <f t="shared" si="27"/>
        <v>0</v>
      </c>
      <c r="BA12" s="18">
        <f t="shared" si="5"/>
        <v>0</v>
      </c>
      <c r="BB12" s="703">
        <f t="shared" si="28"/>
        <v>2698426.6</v>
      </c>
      <c r="BC12" s="700">
        <f t="shared" si="29"/>
        <v>3513351.4</v>
      </c>
      <c r="BD12" s="700"/>
      <c r="BE12" s="11"/>
      <c r="BF12" s="910"/>
      <c r="BG12" s="11"/>
      <c r="BH12" s="11"/>
      <c r="BI12" s="11"/>
    </row>
    <row r="13" spans="1:62" ht="19.899999999999999" customHeight="1">
      <c r="A13" s="11">
        <v>5</v>
      </c>
      <c r="B13" s="909" t="s">
        <v>73</v>
      </c>
      <c r="C13" s="695">
        <v>0.6</v>
      </c>
      <c r="D13" s="695">
        <v>1</v>
      </c>
      <c r="E13" s="11">
        <v>275</v>
      </c>
      <c r="F13" s="11">
        <v>206.4</v>
      </c>
      <c r="G13" s="696">
        <v>38194.44</v>
      </c>
      <c r="H13" s="684">
        <f t="shared" si="6"/>
        <v>275</v>
      </c>
      <c r="I13" s="11">
        <f t="shared" si="7"/>
        <v>275</v>
      </c>
      <c r="J13" s="11"/>
      <c r="K13" s="11"/>
      <c r="L13" s="545">
        <f t="shared" si="3"/>
        <v>206.4</v>
      </c>
      <c r="M13" s="11">
        <f t="shared" si="8"/>
        <v>206.4</v>
      </c>
      <c r="N13" s="11"/>
      <c r="O13" s="861">
        <f t="shared" si="9"/>
        <v>0</v>
      </c>
      <c r="P13" s="695">
        <v>0.6</v>
      </c>
      <c r="Q13" s="695">
        <v>1.5</v>
      </c>
      <c r="R13" s="696">
        <v>38194.44</v>
      </c>
      <c r="S13" s="696">
        <f t="shared" si="10"/>
        <v>17200</v>
      </c>
      <c r="T13" s="698">
        <f t="shared" si="11"/>
        <v>584599.97</v>
      </c>
      <c r="U13" s="699">
        <f t="shared" si="4"/>
        <v>274999.96999999997</v>
      </c>
      <c r="V13" s="433">
        <f t="shared" si="12"/>
        <v>274999.96999999997</v>
      </c>
      <c r="W13" s="11"/>
      <c r="X13" s="11"/>
      <c r="Y13" s="699">
        <f t="shared" si="13"/>
        <v>309600</v>
      </c>
      <c r="Z13" s="11">
        <f t="shared" si="14"/>
        <v>309600</v>
      </c>
      <c r="AA13" s="11"/>
      <c r="AB13" s="11"/>
      <c r="AC13" s="698">
        <f t="shared" si="15"/>
        <v>584599.97</v>
      </c>
      <c r="AD13" s="433">
        <f t="shared" si="16"/>
        <v>584599.97</v>
      </c>
      <c r="AE13" s="11">
        <f t="shared" si="17"/>
        <v>0</v>
      </c>
      <c r="AF13" s="11">
        <f t="shared" si="17"/>
        <v>0</v>
      </c>
      <c r="AG13" s="700">
        <f t="shared" si="18"/>
        <v>761149.16</v>
      </c>
      <c r="AH13" s="11"/>
      <c r="AI13" s="1082"/>
      <c r="AJ13" s="910"/>
      <c r="AK13" s="1085"/>
      <c r="AL13" s="696">
        <v>38194.44</v>
      </c>
      <c r="AM13" s="696">
        <f t="shared" si="19"/>
        <v>17200</v>
      </c>
      <c r="AN13" s="1233">
        <f>AO13-P13</f>
        <v>0.4</v>
      </c>
      <c r="AO13" s="695">
        <v>1</v>
      </c>
      <c r="AP13" s="695">
        <v>1.5</v>
      </c>
      <c r="AQ13" s="698">
        <f t="shared" si="20"/>
        <v>767933.3</v>
      </c>
      <c r="AR13" s="684">
        <f t="shared" si="21"/>
        <v>458333.3</v>
      </c>
      <c r="AS13" s="11">
        <f t="shared" si="22"/>
        <v>458333.3</v>
      </c>
      <c r="AT13" s="11">
        <f t="shared" si="23"/>
        <v>0</v>
      </c>
      <c r="AU13" s="11">
        <f t="shared" si="23"/>
        <v>0</v>
      </c>
      <c r="AV13" s="684">
        <f t="shared" si="24"/>
        <v>309600</v>
      </c>
      <c r="AW13" s="11">
        <f t="shared" si="25"/>
        <v>309600</v>
      </c>
      <c r="AX13" s="11">
        <f t="shared" si="26"/>
        <v>0</v>
      </c>
      <c r="AY13" s="11">
        <f t="shared" si="26"/>
        <v>0</v>
      </c>
      <c r="AZ13" s="18">
        <f t="shared" si="27"/>
        <v>0</v>
      </c>
      <c r="BA13" s="18">
        <f t="shared" si="5"/>
        <v>0</v>
      </c>
      <c r="BB13" s="703">
        <f t="shared" si="28"/>
        <v>767933.3</v>
      </c>
      <c r="BC13" s="700">
        <f t="shared" si="29"/>
        <v>999849.2</v>
      </c>
      <c r="BD13" s="700"/>
      <c r="BE13" s="11"/>
      <c r="BF13" s="910"/>
      <c r="BG13" s="11"/>
      <c r="BH13" s="11"/>
      <c r="BI13" s="11"/>
    </row>
    <row r="14" spans="1:62" ht="19.899999999999999" customHeight="1">
      <c r="A14" s="11">
        <v>6</v>
      </c>
      <c r="B14" s="909" t="s">
        <v>74</v>
      </c>
      <c r="C14" s="695">
        <v>6.4</v>
      </c>
      <c r="D14" s="695">
        <v>0.3</v>
      </c>
      <c r="E14" s="11">
        <v>1298.3</v>
      </c>
      <c r="F14" s="11">
        <v>15.6</v>
      </c>
      <c r="G14" s="696">
        <v>16904.95</v>
      </c>
      <c r="H14" s="684">
        <f t="shared" si="6"/>
        <v>1298.3</v>
      </c>
      <c r="I14" s="11">
        <f t="shared" si="7"/>
        <v>1250.7</v>
      </c>
      <c r="J14" s="11">
        <v>47.6</v>
      </c>
      <c r="K14" s="11"/>
      <c r="L14" s="545">
        <f t="shared" si="3"/>
        <v>15.6</v>
      </c>
      <c r="M14" s="11">
        <f t="shared" si="8"/>
        <v>15.6</v>
      </c>
      <c r="N14" s="11"/>
      <c r="O14" s="861">
        <f t="shared" si="9"/>
        <v>-0.40000000000000036</v>
      </c>
      <c r="P14" s="695">
        <v>6</v>
      </c>
      <c r="Q14" s="695">
        <v>1</v>
      </c>
      <c r="R14" s="696">
        <v>16904.95</v>
      </c>
      <c r="S14" s="696">
        <f t="shared" si="10"/>
        <v>4333.33</v>
      </c>
      <c r="T14" s="698">
        <f t="shared" si="11"/>
        <v>1269156.3599999999</v>
      </c>
      <c r="U14" s="699">
        <f t="shared" si="4"/>
        <v>1217156.3999999999</v>
      </c>
      <c r="V14" s="433">
        <f t="shared" si="12"/>
        <v>1160156.3999999999</v>
      </c>
      <c r="W14" s="11">
        <f>57*1000</f>
        <v>57000</v>
      </c>
      <c r="X14" s="11"/>
      <c r="Y14" s="699">
        <f t="shared" si="13"/>
        <v>51999.96</v>
      </c>
      <c r="Z14" s="11">
        <f t="shared" si="14"/>
        <v>51999.96</v>
      </c>
      <c r="AA14" s="11"/>
      <c r="AB14" s="11"/>
      <c r="AC14" s="698">
        <f t="shared" si="15"/>
        <v>1269156.3600000001</v>
      </c>
      <c r="AD14" s="433">
        <f t="shared" si="16"/>
        <v>1212156.3600000001</v>
      </c>
      <c r="AE14" s="11">
        <f t="shared" si="17"/>
        <v>57000</v>
      </c>
      <c r="AF14" s="11">
        <f t="shared" si="17"/>
        <v>0</v>
      </c>
      <c r="AG14" s="700">
        <f t="shared" si="18"/>
        <v>1578227.58</v>
      </c>
      <c r="AH14" s="11"/>
      <c r="AI14" s="1082"/>
      <c r="AJ14" s="910"/>
      <c r="AK14" s="1085"/>
      <c r="AL14" s="696">
        <v>16904.95</v>
      </c>
      <c r="AM14" s="705">
        <f t="shared" si="19"/>
        <v>4333.33</v>
      </c>
      <c r="AN14" s="1233"/>
      <c r="AO14" s="695">
        <v>6</v>
      </c>
      <c r="AP14" s="695">
        <v>1</v>
      </c>
      <c r="AQ14" s="698">
        <f t="shared" si="20"/>
        <v>1269156.3599999999</v>
      </c>
      <c r="AR14" s="684">
        <f t="shared" si="21"/>
        <v>1217156.3999999999</v>
      </c>
      <c r="AS14" s="11">
        <f t="shared" si="22"/>
        <v>1160156.3999999999</v>
      </c>
      <c r="AT14" s="11">
        <f t="shared" si="23"/>
        <v>57000</v>
      </c>
      <c r="AU14" s="11">
        <f t="shared" si="23"/>
        <v>0</v>
      </c>
      <c r="AV14" s="684">
        <f t="shared" si="24"/>
        <v>51999.96</v>
      </c>
      <c r="AW14" s="11">
        <f t="shared" si="25"/>
        <v>51999.96</v>
      </c>
      <c r="AX14" s="11">
        <f t="shared" si="26"/>
        <v>0</v>
      </c>
      <c r="AY14" s="11">
        <f t="shared" si="26"/>
        <v>0</v>
      </c>
      <c r="AZ14" s="18">
        <f t="shared" si="27"/>
        <v>57000</v>
      </c>
      <c r="BA14" s="18">
        <f t="shared" si="5"/>
        <v>0</v>
      </c>
      <c r="BB14" s="703">
        <f t="shared" si="28"/>
        <v>1212156.3599999999</v>
      </c>
      <c r="BC14" s="700">
        <f t="shared" si="29"/>
        <v>1578227.6</v>
      </c>
      <c r="BD14" s="700"/>
      <c r="BE14" s="11"/>
      <c r="BF14" s="910"/>
      <c r="BG14" s="11"/>
      <c r="BH14" s="11"/>
      <c r="BI14" s="11"/>
    </row>
    <row r="15" spans="1:62" ht="19.899999999999999" customHeight="1">
      <c r="A15" s="11">
        <v>7</v>
      </c>
      <c r="B15" s="1131" t="s">
        <v>814</v>
      </c>
      <c r="C15" s="695">
        <v>1010.4</v>
      </c>
      <c r="D15" s="695">
        <v>107.2</v>
      </c>
      <c r="E15" s="11">
        <v>151004.9</v>
      </c>
      <c r="F15" s="11">
        <v>13050</v>
      </c>
      <c r="G15" s="696">
        <v>12454.22</v>
      </c>
      <c r="H15" s="684">
        <f t="shared" si="6"/>
        <v>151004.9</v>
      </c>
      <c r="I15" s="11">
        <f t="shared" si="7"/>
        <v>150161.9</v>
      </c>
      <c r="J15" s="11">
        <v>843</v>
      </c>
      <c r="K15" s="11"/>
      <c r="L15" s="545">
        <f t="shared" si="3"/>
        <v>13050</v>
      </c>
      <c r="M15" s="11">
        <f t="shared" si="8"/>
        <v>13037.3</v>
      </c>
      <c r="N15" s="11">
        <v>12.7</v>
      </c>
      <c r="O15" s="861">
        <f t="shared" si="9"/>
        <v>-13.899999999999977</v>
      </c>
      <c r="P15" s="695">
        <v>996.5</v>
      </c>
      <c r="Q15" s="695">
        <v>99.5</v>
      </c>
      <c r="R15" s="696">
        <v>12454.22</v>
      </c>
      <c r="S15" s="696">
        <f t="shared" si="10"/>
        <v>10144.59</v>
      </c>
      <c r="T15" s="698">
        <f t="shared" si="11"/>
        <v>161040203.22</v>
      </c>
      <c r="U15" s="699">
        <f t="shared" si="4"/>
        <v>148927562.75999999</v>
      </c>
      <c r="V15" s="433">
        <f t="shared" si="12"/>
        <v>148074062.75999999</v>
      </c>
      <c r="W15" s="11">
        <f>853.5*1000</f>
        <v>853500</v>
      </c>
      <c r="X15" s="11"/>
      <c r="Y15" s="699">
        <f t="shared" si="13"/>
        <v>12112640.460000001</v>
      </c>
      <c r="Z15" s="11">
        <f t="shared" si="14"/>
        <v>12103940.460000001</v>
      </c>
      <c r="AA15" s="11">
        <f>8.7*1000</f>
        <v>8700</v>
      </c>
      <c r="AB15" s="11"/>
      <c r="AC15" s="698">
        <f t="shared" si="15"/>
        <v>161040203.22</v>
      </c>
      <c r="AD15" s="433">
        <f t="shared" si="16"/>
        <v>160178003.22</v>
      </c>
      <c r="AE15" s="11">
        <f t="shared" si="17"/>
        <v>862200</v>
      </c>
      <c r="AF15" s="11">
        <f t="shared" si="17"/>
        <v>0</v>
      </c>
      <c r="AG15" s="700">
        <f t="shared" si="18"/>
        <v>208551760.19</v>
      </c>
      <c r="AH15" s="11"/>
      <c r="AI15" s="1082"/>
      <c r="AJ15" s="910"/>
      <c r="AK15" s="1085"/>
      <c r="AL15" s="696">
        <v>12454.22</v>
      </c>
      <c r="AM15" s="696">
        <f t="shared" si="19"/>
        <v>10144.59</v>
      </c>
      <c r="AN15" s="1233">
        <f>AO15-P15</f>
        <v>0.5</v>
      </c>
      <c r="AO15" s="695">
        <v>997</v>
      </c>
      <c r="AP15" s="695">
        <v>100</v>
      </c>
      <c r="AQ15" s="698">
        <f t="shared" si="20"/>
        <v>161175796.09999999</v>
      </c>
      <c r="AR15" s="684">
        <f t="shared" si="21"/>
        <v>149002288.09999999</v>
      </c>
      <c r="AS15" s="11">
        <f t="shared" si="22"/>
        <v>148148788.09999999</v>
      </c>
      <c r="AT15" s="11">
        <f t="shared" si="23"/>
        <v>853500</v>
      </c>
      <c r="AU15" s="11">
        <f t="shared" si="23"/>
        <v>0</v>
      </c>
      <c r="AV15" s="684">
        <f t="shared" si="24"/>
        <v>12173508</v>
      </c>
      <c r="AW15" s="11">
        <f t="shared" si="25"/>
        <v>12164808</v>
      </c>
      <c r="AX15" s="11">
        <f t="shared" si="26"/>
        <v>8700</v>
      </c>
      <c r="AY15" s="11">
        <f t="shared" si="26"/>
        <v>0</v>
      </c>
      <c r="AZ15" s="18">
        <f t="shared" si="27"/>
        <v>862200</v>
      </c>
      <c r="BA15" s="18">
        <f t="shared" si="5"/>
        <v>0</v>
      </c>
      <c r="BB15" s="703">
        <f t="shared" si="28"/>
        <v>160313596.09999999</v>
      </c>
      <c r="BC15" s="700">
        <f t="shared" si="29"/>
        <v>208728302.09999999</v>
      </c>
      <c r="BD15" s="700"/>
      <c r="BE15" s="11"/>
      <c r="BF15" s="910"/>
      <c r="BG15" s="11"/>
      <c r="BH15" s="11"/>
      <c r="BI15" s="11"/>
    </row>
    <row r="16" spans="1:62" ht="16.899999999999999" customHeight="1">
      <c r="A16" s="1045"/>
      <c r="B16" s="1132" t="s">
        <v>815</v>
      </c>
      <c r="C16" s="1116"/>
      <c r="D16" s="1116"/>
      <c r="E16" s="1045"/>
      <c r="F16" s="1045"/>
      <c r="G16" s="1117"/>
      <c r="H16" s="1118"/>
      <c r="I16" s="1045"/>
      <c r="J16" s="1045"/>
      <c r="K16" s="1045"/>
      <c r="L16" s="859"/>
      <c r="M16" s="1045"/>
      <c r="N16" s="1045"/>
      <c r="O16" s="1119"/>
      <c r="P16" s="1120"/>
      <c r="Q16" s="1116"/>
      <c r="R16" s="1117"/>
      <c r="S16" s="1117"/>
      <c r="T16" s="1121"/>
      <c r="U16" s="1122"/>
      <c r="V16" s="1123"/>
      <c r="W16" s="1045"/>
      <c r="X16" s="1045"/>
      <c r="Y16" s="1122"/>
      <c r="Z16" s="1045"/>
      <c r="AA16" s="1045"/>
      <c r="AB16" s="1045"/>
      <c r="AC16" s="1121"/>
      <c r="AD16" s="1123"/>
      <c r="AE16" s="1045"/>
      <c r="AF16" s="1045"/>
      <c r="AG16" s="1124"/>
      <c r="AH16" s="1045"/>
      <c r="AI16" s="1125"/>
      <c r="AJ16" s="910"/>
      <c r="AK16" s="1126"/>
      <c r="AL16" s="1127"/>
      <c r="AM16" s="1127"/>
      <c r="AN16" s="1233"/>
      <c r="AO16" s="1116"/>
      <c r="AP16" s="1116"/>
      <c r="AQ16" s="1121"/>
      <c r="AR16" s="1118"/>
      <c r="AS16" s="1045"/>
      <c r="AT16" s="1045"/>
      <c r="AU16" s="1045"/>
      <c r="AV16" s="1118"/>
      <c r="AW16" s="1045"/>
      <c r="AX16" s="1045"/>
      <c r="AY16" s="1045"/>
      <c r="AZ16" s="1128"/>
      <c r="BA16" s="1128"/>
      <c r="BB16" s="1129"/>
      <c r="BC16" s="1124"/>
      <c r="BD16" s="1124"/>
      <c r="BE16" s="1045"/>
      <c r="BF16" s="1125"/>
      <c r="BG16" s="1130"/>
      <c r="BH16" s="1130"/>
      <c r="BI16" s="1045"/>
    </row>
    <row r="17" spans="1:61" ht="19.149999999999999" customHeight="1">
      <c r="A17" s="859">
        <v>1</v>
      </c>
      <c r="B17" s="426" t="s">
        <v>70</v>
      </c>
      <c r="C17" s="859">
        <f>C18+C19+C20+C21+C22+C23+C24</f>
        <v>318</v>
      </c>
      <c r="D17" s="859">
        <f t="shared" ref="D17:AG17" si="30">D18+D19+D20+D21+D22+D23+D24</f>
        <v>19.200000000000003</v>
      </c>
      <c r="E17" s="859">
        <f t="shared" si="30"/>
        <v>65506.9</v>
      </c>
      <c r="F17" s="859">
        <f t="shared" si="30"/>
        <v>1852.1999999999998</v>
      </c>
      <c r="G17" s="564">
        <v>17166.38</v>
      </c>
      <c r="H17" s="859">
        <f t="shared" si="30"/>
        <v>65506.9</v>
      </c>
      <c r="I17" s="859">
        <f t="shared" si="30"/>
        <v>63068.9</v>
      </c>
      <c r="J17" s="859">
        <f t="shared" si="30"/>
        <v>0</v>
      </c>
      <c r="K17" s="859">
        <f t="shared" si="30"/>
        <v>2438.0000000000005</v>
      </c>
      <c r="L17" s="859">
        <f t="shared" si="30"/>
        <v>1852.1999999999998</v>
      </c>
      <c r="M17" s="859">
        <f t="shared" si="30"/>
        <v>1852.1999999999998</v>
      </c>
      <c r="N17" s="859">
        <f t="shared" si="30"/>
        <v>0</v>
      </c>
      <c r="O17" s="902">
        <f t="shared" si="30"/>
        <v>18.199999999999989</v>
      </c>
      <c r="P17" s="903">
        <f t="shared" si="30"/>
        <v>336.2</v>
      </c>
      <c r="Q17" s="859">
        <f t="shared" si="30"/>
        <v>29.200000000000003</v>
      </c>
      <c r="R17" s="564">
        <v>17166.38</v>
      </c>
      <c r="S17" s="564"/>
      <c r="T17" s="904">
        <f>SUM(T18:T24)</f>
        <v>70825789.780000001</v>
      </c>
      <c r="U17" s="859">
        <f t="shared" ref="U17:AB17" si="31">U18+U19+U20+U21+U22+U23+U24</f>
        <v>67942367.5</v>
      </c>
      <c r="V17" s="859">
        <f t="shared" si="31"/>
        <v>64857667.5</v>
      </c>
      <c r="W17" s="859">
        <f t="shared" si="31"/>
        <v>0</v>
      </c>
      <c r="X17" s="859">
        <f t="shared" si="31"/>
        <v>3084700</v>
      </c>
      <c r="Y17" s="859">
        <f t="shared" si="31"/>
        <v>2883422.28</v>
      </c>
      <c r="Z17" s="859">
        <f t="shared" si="31"/>
        <v>2883422.28</v>
      </c>
      <c r="AA17" s="859">
        <f t="shared" si="31"/>
        <v>0</v>
      </c>
      <c r="AB17" s="859">
        <f t="shared" si="31"/>
        <v>0</v>
      </c>
      <c r="AC17" s="859">
        <f t="shared" si="30"/>
        <v>70825789.780000001</v>
      </c>
      <c r="AD17" s="859">
        <f t="shared" si="30"/>
        <v>67741089.780000001</v>
      </c>
      <c r="AE17" s="859">
        <f t="shared" si="30"/>
        <v>0</v>
      </c>
      <c r="AF17" s="859">
        <f t="shared" si="30"/>
        <v>3084700</v>
      </c>
      <c r="AG17" s="859">
        <f t="shared" si="30"/>
        <v>88198898.900000006</v>
      </c>
      <c r="AH17" s="564">
        <f>427911.739999995+2795088.26</f>
        <v>3222999.9999999949</v>
      </c>
      <c r="AI17" s="1083">
        <v>88626810.640000001</v>
      </c>
      <c r="AJ17" s="765">
        <f>AH17+AG17</f>
        <v>91421898.900000006</v>
      </c>
      <c r="AK17" s="1087">
        <f>AJ17-AI17</f>
        <v>2795088.2600000054</v>
      </c>
      <c r="AL17" s="906">
        <v>17166.38</v>
      </c>
      <c r="AM17" s="906">
        <f t="shared" ref="AM17:AM69" si="32">S17</f>
        <v>0</v>
      </c>
      <c r="AN17" s="859">
        <f>AN18+AN19+AN20+AN21+AN22+AN23+AN24</f>
        <v>16.900000000000023</v>
      </c>
      <c r="AO17" s="859">
        <f>AO18+AO19+AO20+AO21+AO22+AO23+AO24</f>
        <v>353.1</v>
      </c>
      <c r="AP17" s="859">
        <f t="shared" ref="AP17:BC17" si="33">AP18+AP19+AP20+AP21+AP22+AP23+AP24</f>
        <v>31.05</v>
      </c>
      <c r="AQ17" s="904">
        <f>SUM(AQ18:AQ24)</f>
        <v>73854262.079999998</v>
      </c>
      <c r="AR17" s="859">
        <f t="shared" ref="AR17:AR81" si="34">ROUND((AL17*AO17*12),1)</f>
        <v>72737385.299999997</v>
      </c>
      <c r="AS17" s="859">
        <f t="shared" si="33"/>
        <v>67719310.599999994</v>
      </c>
      <c r="AT17" s="859">
        <f t="shared" si="33"/>
        <v>0</v>
      </c>
      <c r="AU17" s="859">
        <f t="shared" si="33"/>
        <v>3084700</v>
      </c>
      <c r="AV17" s="859">
        <f t="shared" ref="AV17:AV33" si="35">ROUND(AM17*AP17*12,2)</f>
        <v>0</v>
      </c>
      <c r="AW17" s="859">
        <f>AW18+AW19+AW20+AW21+AW22+AW23+AW24</f>
        <v>3050251.4799999995</v>
      </c>
      <c r="AX17" s="859">
        <f t="shared" si="33"/>
        <v>0</v>
      </c>
      <c r="AY17" s="859">
        <f t="shared" si="33"/>
        <v>0</v>
      </c>
      <c r="AZ17" s="859">
        <f t="shared" si="33"/>
        <v>0</v>
      </c>
      <c r="BA17" s="859">
        <f t="shared" si="33"/>
        <v>2665065.0999999996</v>
      </c>
      <c r="BB17" s="859">
        <f t="shared" si="33"/>
        <v>70769562.079999998</v>
      </c>
      <c r="BC17" s="859">
        <f t="shared" si="33"/>
        <v>92141969.799999997</v>
      </c>
      <c r="BD17" s="564">
        <v>3438708</v>
      </c>
      <c r="BE17" s="564">
        <f>BD17+BC17</f>
        <v>95580677.799999997</v>
      </c>
      <c r="BF17" s="905">
        <v>88626810.640000001</v>
      </c>
      <c r="BG17" s="865">
        <f>BE17-BF17</f>
        <v>6953867.1599999964</v>
      </c>
      <c r="BH17" s="875">
        <f>AG17+AH17</f>
        <v>91421898.900000006</v>
      </c>
      <c r="BI17" s="907">
        <f>BH17-AI17</f>
        <v>2795088.2600000054</v>
      </c>
    </row>
    <row r="18" spans="1:61">
      <c r="A18" s="11">
        <v>1</v>
      </c>
      <c r="B18" s="13" t="s">
        <v>71</v>
      </c>
      <c r="C18" s="17">
        <v>7</v>
      </c>
      <c r="D18" s="17"/>
      <c r="E18" s="11">
        <v>2908.3</v>
      </c>
      <c r="F18" s="11"/>
      <c r="G18" s="555">
        <v>34622.620000000003</v>
      </c>
      <c r="H18" s="545">
        <f>I18+J18+K18</f>
        <v>2908.3</v>
      </c>
      <c r="I18" s="11">
        <f>E18-K18-J18</f>
        <v>2808.9</v>
      </c>
      <c r="J18" s="11"/>
      <c r="K18" s="11">
        <v>99.4</v>
      </c>
      <c r="L18" s="545">
        <f t="shared" ref="L18:L24" si="36">M18+N18</f>
        <v>0</v>
      </c>
      <c r="M18" s="11">
        <f>F18-N18</f>
        <v>0</v>
      </c>
      <c r="N18" s="11"/>
      <c r="O18" s="861">
        <f>P18-C18</f>
        <v>0</v>
      </c>
      <c r="P18" s="444">
        <v>7</v>
      </c>
      <c r="Q18" s="17"/>
      <c r="R18" s="555">
        <v>34622.620000000003</v>
      </c>
      <c r="S18" s="555"/>
      <c r="T18" s="554">
        <f>U18+Y18</f>
        <v>2908300.08</v>
      </c>
      <c r="U18" s="556">
        <f t="shared" ref="U18:U24" si="37">ROUND(R18*P18*12,2)</f>
        <v>2908300.08</v>
      </c>
      <c r="V18" s="433">
        <f t="shared" ref="V18:V24" si="38">U18-W18-X18</f>
        <v>2804000.08</v>
      </c>
      <c r="W18" s="11"/>
      <c r="X18" s="11">
        <v>104300</v>
      </c>
      <c r="Y18" s="556">
        <f t="shared" ref="Y18:Y24" si="39">ROUND(S18*Q18*12,2)</f>
        <v>0</v>
      </c>
      <c r="Z18" s="11">
        <f t="shared" ref="Z18:Z24" si="40">Y18-AA18-AB18</f>
        <v>0</v>
      </c>
      <c r="AA18" s="11"/>
      <c r="AB18" s="11"/>
      <c r="AC18" s="554">
        <f t="shared" ref="AC18:AC24" si="41">AD18+AE18+AF18</f>
        <v>2908300.08</v>
      </c>
      <c r="AD18" s="433">
        <f t="shared" ref="AD18:AD24" si="42">ROUND((Z18+V18),2)</f>
        <v>2804000.08</v>
      </c>
      <c r="AE18" s="11">
        <f t="shared" ref="AE18:AF24" si="43">AA18+W18</f>
        <v>0</v>
      </c>
      <c r="AF18" s="11">
        <f t="shared" si="43"/>
        <v>104300</v>
      </c>
      <c r="AG18" s="544">
        <f t="shared" ref="AG18:AG24" si="44">ROUND(AD18*1.302,2)</f>
        <v>3650808.1</v>
      </c>
      <c r="AH18" s="11">
        <v>3223000</v>
      </c>
      <c r="AI18" s="1084"/>
      <c r="AJ18" s="850"/>
      <c r="AK18" s="913"/>
      <c r="AL18" s="557">
        <v>34622.620000000003</v>
      </c>
      <c r="AM18" s="557">
        <f t="shared" si="32"/>
        <v>0</v>
      </c>
      <c r="AN18" s="1233"/>
      <c r="AO18" s="17">
        <v>7</v>
      </c>
      <c r="AP18" s="17"/>
      <c r="AQ18" s="554">
        <f>AR18+AV18</f>
        <v>2908300.1</v>
      </c>
      <c r="AR18" s="545">
        <f t="shared" si="34"/>
        <v>2908300.1</v>
      </c>
      <c r="AS18" s="11">
        <f t="shared" ref="AS18:AS24" si="45">AR18-AT18-AU18</f>
        <v>2804000.1</v>
      </c>
      <c r="AT18" s="11">
        <f>W18</f>
        <v>0</v>
      </c>
      <c r="AU18" s="11">
        <f t="shared" ref="AU18:AU24" si="46">X18</f>
        <v>104300</v>
      </c>
      <c r="AV18" s="545">
        <f t="shared" si="35"/>
        <v>0</v>
      </c>
      <c r="AW18" s="11">
        <f t="shared" ref="AW18:AW24" si="47">AV18-AX18-AY18</f>
        <v>0</v>
      </c>
      <c r="AX18" s="11">
        <f t="shared" ref="AX18:AY24" si="48">AA18</f>
        <v>0</v>
      </c>
      <c r="AY18" s="11">
        <f t="shared" si="48"/>
        <v>0</v>
      </c>
      <c r="AZ18" s="18">
        <f>AX18+AT18</f>
        <v>0</v>
      </c>
      <c r="BA18" s="18">
        <f>AY18+AU18</f>
        <v>104300</v>
      </c>
      <c r="BB18" s="19">
        <f>AW18+AS18</f>
        <v>2804000.1</v>
      </c>
      <c r="BC18" s="544">
        <f>ROUND(BB18*1.302,1)</f>
        <v>3650808.1</v>
      </c>
      <c r="BD18" s="544"/>
      <c r="BE18" s="11"/>
      <c r="BF18" s="445"/>
      <c r="BG18" s="439"/>
      <c r="BH18" s="439"/>
      <c r="BI18" s="11"/>
    </row>
    <row r="19" spans="1:61">
      <c r="A19" s="11">
        <v>2</v>
      </c>
      <c r="B19" s="13" t="s">
        <v>72</v>
      </c>
      <c r="C19" s="17">
        <v>13.7</v>
      </c>
      <c r="D19" s="17"/>
      <c r="E19" s="11">
        <v>4936.5</v>
      </c>
      <c r="F19" s="11"/>
      <c r="G19" s="555">
        <v>30027.37</v>
      </c>
      <c r="H19" s="545">
        <f t="shared" ref="H19:H24" si="49">I19+J19+K19</f>
        <v>4936.5</v>
      </c>
      <c r="I19" s="11">
        <f t="shared" ref="I19:I24" si="50">E19-K19-J19</f>
        <v>4769.6000000000004</v>
      </c>
      <c r="J19" s="11"/>
      <c r="K19" s="11">
        <v>166.9</v>
      </c>
      <c r="L19" s="545">
        <f t="shared" si="36"/>
        <v>0</v>
      </c>
      <c r="M19" s="11">
        <f t="shared" ref="M19:M24" si="51">F19-N19</f>
        <v>0</v>
      </c>
      <c r="N19" s="11"/>
      <c r="O19" s="861">
        <f t="shared" ref="O19:O24" si="52">P19-C19</f>
        <v>2</v>
      </c>
      <c r="P19" s="444">
        <v>15.7</v>
      </c>
      <c r="Q19" s="17"/>
      <c r="R19" s="555">
        <v>30027.37</v>
      </c>
      <c r="S19" s="555"/>
      <c r="T19" s="554">
        <f t="shared" ref="T19:T24" si="53">U19+Y19</f>
        <v>5657156.5099999998</v>
      </c>
      <c r="U19" s="556">
        <f t="shared" si="37"/>
        <v>5657156.5099999998</v>
      </c>
      <c r="V19" s="433">
        <f t="shared" si="38"/>
        <v>5329756.51</v>
      </c>
      <c r="W19" s="11"/>
      <c r="X19" s="11">
        <v>327400</v>
      </c>
      <c r="Y19" s="556">
        <f t="shared" si="39"/>
        <v>0</v>
      </c>
      <c r="Z19" s="11">
        <f t="shared" si="40"/>
        <v>0</v>
      </c>
      <c r="AA19" s="11"/>
      <c r="AB19" s="11"/>
      <c r="AC19" s="554">
        <f t="shared" si="41"/>
        <v>5657156.5099999998</v>
      </c>
      <c r="AD19" s="433">
        <f t="shared" si="42"/>
        <v>5329756.51</v>
      </c>
      <c r="AE19" s="11">
        <f t="shared" si="43"/>
        <v>0</v>
      </c>
      <c r="AF19" s="11">
        <f t="shared" si="43"/>
        <v>327400</v>
      </c>
      <c r="AG19" s="544">
        <f t="shared" si="44"/>
        <v>6939342.9800000004</v>
      </c>
      <c r="AH19" s="433">
        <f>AH18-AH17</f>
        <v>5.1222741603851318E-9</v>
      </c>
      <c r="AI19" s="1084"/>
      <c r="AJ19" s="850"/>
      <c r="AK19" s="913"/>
      <c r="AL19" s="557">
        <v>30027.37</v>
      </c>
      <c r="AM19" s="557">
        <f t="shared" si="32"/>
        <v>0</v>
      </c>
      <c r="AN19" s="1233">
        <f>AO19-P19</f>
        <v>2.8000000000000007</v>
      </c>
      <c r="AO19" s="17">
        <v>18.5</v>
      </c>
      <c r="AP19" s="17"/>
      <c r="AQ19" s="554">
        <f t="shared" ref="AQ19:AQ24" si="54">AR19+AV19</f>
        <v>6666076.0999999996</v>
      </c>
      <c r="AR19" s="545">
        <f t="shared" si="34"/>
        <v>6666076.0999999996</v>
      </c>
      <c r="AS19" s="11">
        <f t="shared" si="45"/>
        <v>6338676.0999999996</v>
      </c>
      <c r="AT19" s="11">
        <f t="shared" ref="AT19:AT24" si="55">W19</f>
        <v>0</v>
      </c>
      <c r="AU19" s="11">
        <f t="shared" si="46"/>
        <v>327400</v>
      </c>
      <c r="AV19" s="545">
        <f t="shared" si="35"/>
        <v>0</v>
      </c>
      <c r="AW19" s="11">
        <f t="shared" si="47"/>
        <v>0</v>
      </c>
      <c r="AX19" s="11">
        <f t="shared" si="48"/>
        <v>0</v>
      </c>
      <c r="AY19" s="11">
        <f t="shared" si="48"/>
        <v>0</v>
      </c>
      <c r="AZ19" s="18">
        <f t="shared" ref="AZ19:BA24" si="56">AX19+AT19</f>
        <v>0</v>
      </c>
      <c r="BA19" s="18">
        <v>494.3</v>
      </c>
      <c r="BB19" s="19">
        <f t="shared" ref="BB19:BB24" si="57">AW19+AS19</f>
        <v>6338676.0999999996</v>
      </c>
      <c r="BC19" s="544">
        <f t="shared" ref="BC19:BC24" si="58">ROUND(BB19*1.302,1)</f>
        <v>8252956.2999999998</v>
      </c>
      <c r="BD19" s="544"/>
      <c r="BE19" s="11"/>
      <c r="BF19" s="445"/>
      <c r="BG19" s="439"/>
      <c r="BH19" s="439"/>
      <c r="BI19" s="11"/>
    </row>
    <row r="20" spans="1:61">
      <c r="A20" s="11">
        <v>3</v>
      </c>
      <c r="B20" s="14" t="s">
        <v>76</v>
      </c>
      <c r="C20" s="17">
        <v>164.2</v>
      </c>
      <c r="D20" s="17">
        <v>4.4000000000000004</v>
      </c>
      <c r="E20" s="11">
        <v>43318.3</v>
      </c>
      <c r="F20" s="11">
        <v>595.79999999999995</v>
      </c>
      <c r="G20" s="29">
        <v>21984.52</v>
      </c>
      <c r="H20" s="545">
        <f t="shared" si="49"/>
        <v>43318.3</v>
      </c>
      <c r="I20" s="11">
        <f t="shared" si="50"/>
        <v>41186</v>
      </c>
      <c r="J20" s="11"/>
      <c r="K20" s="11">
        <v>2132.3000000000002</v>
      </c>
      <c r="L20" s="545">
        <f t="shared" si="36"/>
        <v>595.79999999999995</v>
      </c>
      <c r="M20" s="11">
        <f t="shared" si="51"/>
        <v>595.79999999999995</v>
      </c>
      <c r="N20" s="11"/>
      <c r="O20" s="861">
        <f t="shared" si="52"/>
        <v>-1.1999999999999886</v>
      </c>
      <c r="P20" s="444">
        <v>163</v>
      </c>
      <c r="Q20" s="17">
        <v>8</v>
      </c>
      <c r="R20" s="29">
        <v>21984.52</v>
      </c>
      <c r="S20" s="555">
        <f>ROUND(F20/D20/12*1000,2)</f>
        <v>11284.09</v>
      </c>
      <c r="T20" s="554">
        <f t="shared" si="53"/>
        <v>44084993.759999998</v>
      </c>
      <c r="U20" s="556">
        <f t="shared" si="37"/>
        <v>43001721.119999997</v>
      </c>
      <c r="V20" s="433">
        <f t="shared" si="38"/>
        <v>40441721.119999997</v>
      </c>
      <c r="W20" s="11"/>
      <c r="X20" s="11">
        <v>2560000</v>
      </c>
      <c r="Y20" s="556">
        <f t="shared" si="39"/>
        <v>1083272.6399999999</v>
      </c>
      <c r="Z20" s="11">
        <f t="shared" si="40"/>
        <v>1083272.6399999999</v>
      </c>
      <c r="AA20" s="11"/>
      <c r="AB20" s="11"/>
      <c r="AC20" s="554">
        <f t="shared" si="41"/>
        <v>44084993.759999998</v>
      </c>
      <c r="AD20" s="433">
        <f t="shared" si="42"/>
        <v>41524993.759999998</v>
      </c>
      <c r="AE20" s="11">
        <f t="shared" si="43"/>
        <v>0</v>
      </c>
      <c r="AF20" s="11">
        <f t="shared" si="43"/>
        <v>2560000</v>
      </c>
      <c r="AG20" s="544">
        <f t="shared" si="44"/>
        <v>54065541.880000003</v>
      </c>
      <c r="AH20" s="11"/>
      <c r="AI20" s="1084"/>
      <c r="AJ20" s="850"/>
      <c r="AK20" s="913"/>
      <c r="AL20" s="440">
        <v>21984.52</v>
      </c>
      <c r="AM20" s="557">
        <f t="shared" si="32"/>
        <v>11284.09</v>
      </c>
      <c r="AN20" s="1233"/>
      <c r="AO20" s="17">
        <v>163</v>
      </c>
      <c r="AP20" s="17">
        <v>8</v>
      </c>
      <c r="AQ20" s="554">
        <f t="shared" si="54"/>
        <v>44084993.740000002</v>
      </c>
      <c r="AR20" s="545">
        <f t="shared" si="34"/>
        <v>43001721.100000001</v>
      </c>
      <c r="AS20" s="11">
        <f t="shared" si="45"/>
        <v>40441721.100000001</v>
      </c>
      <c r="AT20" s="11">
        <f t="shared" si="55"/>
        <v>0</v>
      </c>
      <c r="AU20" s="11">
        <f t="shared" si="46"/>
        <v>2560000</v>
      </c>
      <c r="AV20" s="545">
        <f t="shared" si="35"/>
        <v>1083272.6399999999</v>
      </c>
      <c r="AW20" s="11">
        <f t="shared" si="47"/>
        <v>1083272.6399999999</v>
      </c>
      <c r="AX20" s="11">
        <f t="shared" si="48"/>
        <v>0</v>
      </c>
      <c r="AY20" s="11">
        <f t="shared" si="48"/>
        <v>0</v>
      </c>
      <c r="AZ20" s="18">
        <f t="shared" si="56"/>
        <v>0</v>
      </c>
      <c r="BA20" s="18">
        <f t="shared" si="56"/>
        <v>2560000</v>
      </c>
      <c r="BB20" s="19">
        <f t="shared" si="57"/>
        <v>41524993.740000002</v>
      </c>
      <c r="BC20" s="544">
        <f t="shared" si="58"/>
        <v>54065541.799999997</v>
      </c>
      <c r="BD20" s="544"/>
      <c r="BE20" s="11"/>
      <c r="BF20" s="445"/>
      <c r="BG20" s="439"/>
      <c r="BH20" s="439"/>
      <c r="BI20" s="11"/>
    </row>
    <row r="21" spans="1:61">
      <c r="A21" s="11">
        <v>4</v>
      </c>
      <c r="B21" s="14" t="s">
        <v>77</v>
      </c>
      <c r="C21" s="17">
        <v>2.2999999999999998</v>
      </c>
      <c r="D21" s="17">
        <v>0.4</v>
      </c>
      <c r="E21" s="11">
        <v>378.7</v>
      </c>
      <c r="F21" s="11">
        <v>40.299999999999997</v>
      </c>
      <c r="G21" s="432">
        <v>13721.01</v>
      </c>
      <c r="H21" s="545">
        <f t="shared" si="49"/>
        <v>378.7</v>
      </c>
      <c r="I21" s="11">
        <f t="shared" si="50"/>
        <v>339.3</v>
      </c>
      <c r="J21" s="11"/>
      <c r="K21" s="11">
        <v>39.4</v>
      </c>
      <c r="L21" s="545">
        <f t="shared" si="36"/>
        <v>40.299999999999997</v>
      </c>
      <c r="M21" s="11">
        <f t="shared" si="51"/>
        <v>40.299999999999997</v>
      </c>
      <c r="N21" s="11"/>
      <c r="O21" s="861">
        <f t="shared" si="52"/>
        <v>3</v>
      </c>
      <c r="P21" s="444">
        <v>5.3</v>
      </c>
      <c r="Q21" s="17">
        <v>0.6</v>
      </c>
      <c r="R21" s="432">
        <v>13721.01</v>
      </c>
      <c r="S21" s="555">
        <f>ROUND(F21/D21/12*1000,2)</f>
        <v>8395.83</v>
      </c>
      <c r="T21" s="554">
        <f t="shared" si="53"/>
        <v>933106.22</v>
      </c>
      <c r="U21" s="556">
        <f t="shared" si="37"/>
        <v>872656.24</v>
      </c>
      <c r="V21" s="433">
        <f t="shared" si="38"/>
        <v>779656.24</v>
      </c>
      <c r="W21" s="11"/>
      <c r="X21" s="11">
        <v>93000</v>
      </c>
      <c r="Y21" s="556">
        <f t="shared" si="39"/>
        <v>60449.98</v>
      </c>
      <c r="Z21" s="11">
        <f t="shared" si="40"/>
        <v>60449.98</v>
      </c>
      <c r="AA21" s="11"/>
      <c r="AB21" s="11"/>
      <c r="AC21" s="554">
        <f t="shared" si="41"/>
        <v>933106.22</v>
      </c>
      <c r="AD21" s="433">
        <f t="shared" si="42"/>
        <v>840106.22</v>
      </c>
      <c r="AE21" s="11">
        <f t="shared" si="43"/>
        <v>0</v>
      </c>
      <c r="AF21" s="11">
        <f t="shared" si="43"/>
        <v>93000</v>
      </c>
      <c r="AG21" s="544">
        <f t="shared" si="44"/>
        <v>1093818.3</v>
      </c>
      <c r="AH21" s="11"/>
      <c r="AI21" s="1084"/>
      <c r="AJ21" s="850"/>
      <c r="AK21" s="913"/>
      <c r="AL21" s="441">
        <v>13721.01</v>
      </c>
      <c r="AM21" s="557">
        <f t="shared" si="32"/>
        <v>8395.83</v>
      </c>
      <c r="AN21" s="1233">
        <f>AO21-P21</f>
        <v>6.0000000000000009</v>
      </c>
      <c r="AO21" s="17">
        <v>11.3</v>
      </c>
      <c r="AP21" s="17">
        <v>1.25</v>
      </c>
      <c r="AQ21" s="554">
        <f t="shared" si="54"/>
        <v>1986506.45</v>
      </c>
      <c r="AR21" s="545">
        <f t="shared" si="34"/>
        <v>1860569</v>
      </c>
      <c r="AS21" s="11">
        <f t="shared" si="45"/>
        <v>1767569</v>
      </c>
      <c r="AT21" s="11">
        <f t="shared" si="55"/>
        <v>0</v>
      </c>
      <c r="AU21" s="11">
        <f t="shared" si="46"/>
        <v>93000</v>
      </c>
      <c r="AV21" s="545">
        <f t="shared" si="35"/>
        <v>125937.45</v>
      </c>
      <c r="AW21" s="11">
        <f t="shared" si="47"/>
        <v>125937.45</v>
      </c>
      <c r="AX21" s="11">
        <f t="shared" si="48"/>
        <v>0</v>
      </c>
      <c r="AY21" s="11">
        <f t="shared" si="48"/>
        <v>0</v>
      </c>
      <c r="AZ21" s="18">
        <f t="shared" si="56"/>
        <v>0</v>
      </c>
      <c r="BA21" s="18">
        <v>270.8</v>
      </c>
      <c r="BB21" s="19">
        <f t="shared" si="57"/>
        <v>1893506.45</v>
      </c>
      <c r="BC21" s="544">
        <f t="shared" si="58"/>
        <v>2465345.4</v>
      </c>
      <c r="BD21" s="544"/>
      <c r="BE21" s="11"/>
      <c r="BF21" s="445"/>
      <c r="BG21" s="439"/>
      <c r="BH21" s="439"/>
      <c r="BI21" s="11"/>
    </row>
    <row r="22" spans="1:61">
      <c r="A22" s="11">
        <v>5</v>
      </c>
      <c r="B22" s="13" t="s">
        <v>73</v>
      </c>
      <c r="C22" s="17"/>
      <c r="D22" s="17"/>
      <c r="E22" s="11"/>
      <c r="F22" s="11"/>
      <c r="G22" s="555"/>
      <c r="H22" s="545">
        <f t="shared" si="49"/>
        <v>0</v>
      </c>
      <c r="I22" s="11">
        <f t="shared" si="50"/>
        <v>0</v>
      </c>
      <c r="J22" s="11"/>
      <c r="K22" s="11"/>
      <c r="L22" s="545">
        <f t="shared" si="36"/>
        <v>0</v>
      </c>
      <c r="M22" s="11">
        <f t="shared" si="51"/>
        <v>0</v>
      </c>
      <c r="N22" s="11"/>
      <c r="O22" s="861">
        <f t="shared" si="52"/>
        <v>0</v>
      </c>
      <c r="P22" s="444"/>
      <c r="Q22" s="17"/>
      <c r="R22" s="555"/>
      <c r="S22" s="555"/>
      <c r="T22" s="554">
        <f t="shared" si="53"/>
        <v>0</v>
      </c>
      <c r="U22" s="556">
        <f t="shared" si="37"/>
        <v>0</v>
      </c>
      <c r="V22" s="433">
        <f t="shared" si="38"/>
        <v>0</v>
      </c>
      <c r="W22" s="11"/>
      <c r="X22" s="11"/>
      <c r="Y22" s="556">
        <f t="shared" si="39"/>
        <v>0</v>
      </c>
      <c r="Z22" s="11">
        <f t="shared" si="40"/>
        <v>0</v>
      </c>
      <c r="AA22" s="11"/>
      <c r="AB22" s="11"/>
      <c r="AC22" s="554">
        <f t="shared" si="41"/>
        <v>0</v>
      </c>
      <c r="AD22" s="433">
        <f t="shared" si="42"/>
        <v>0</v>
      </c>
      <c r="AE22" s="11">
        <f t="shared" si="43"/>
        <v>0</v>
      </c>
      <c r="AF22" s="11">
        <f t="shared" si="43"/>
        <v>0</v>
      </c>
      <c r="AG22" s="544">
        <f t="shared" si="44"/>
        <v>0</v>
      </c>
      <c r="AH22" s="11"/>
      <c r="AI22" s="1084"/>
      <c r="AJ22" s="850"/>
      <c r="AK22" s="913"/>
      <c r="AL22" s="557"/>
      <c r="AM22" s="557">
        <f t="shared" si="32"/>
        <v>0</v>
      </c>
      <c r="AN22" s="1233"/>
      <c r="AO22" s="17"/>
      <c r="AP22" s="17"/>
      <c r="AQ22" s="554">
        <f t="shared" si="54"/>
        <v>0</v>
      </c>
      <c r="AR22" s="545">
        <f t="shared" si="34"/>
        <v>0</v>
      </c>
      <c r="AS22" s="11">
        <f t="shared" si="45"/>
        <v>0</v>
      </c>
      <c r="AT22" s="11">
        <f t="shared" si="55"/>
        <v>0</v>
      </c>
      <c r="AU22" s="11">
        <f t="shared" si="46"/>
        <v>0</v>
      </c>
      <c r="AV22" s="545">
        <f t="shared" si="35"/>
        <v>0</v>
      </c>
      <c r="AW22" s="11">
        <f t="shared" si="47"/>
        <v>0</v>
      </c>
      <c r="AX22" s="11">
        <f t="shared" si="48"/>
        <v>0</v>
      </c>
      <c r="AY22" s="11">
        <f t="shared" si="48"/>
        <v>0</v>
      </c>
      <c r="AZ22" s="18">
        <f t="shared" si="56"/>
        <v>0</v>
      </c>
      <c r="BA22" s="18">
        <f t="shared" si="56"/>
        <v>0</v>
      </c>
      <c r="BB22" s="19">
        <f t="shared" si="57"/>
        <v>0</v>
      </c>
      <c r="BC22" s="544">
        <f t="shared" si="58"/>
        <v>0</v>
      </c>
      <c r="BD22" s="544"/>
      <c r="BE22" s="11"/>
      <c r="BF22" s="445"/>
      <c r="BG22" s="439"/>
      <c r="BH22" s="439"/>
      <c r="BI22" s="11"/>
    </row>
    <row r="23" spans="1:61">
      <c r="A23" s="11">
        <v>6</v>
      </c>
      <c r="B23" s="13" t="s">
        <v>74</v>
      </c>
      <c r="C23" s="17"/>
      <c r="D23" s="17"/>
      <c r="E23" s="11"/>
      <c r="F23" s="11"/>
      <c r="G23" s="555"/>
      <c r="H23" s="545">
        <f t="shared" si="49"/>
        <v>0</v>
      </c>
      <c r="I23" s="11">
        <f t="shared" si="50"/>
        <v>0</v>
      </c>
      <c r="J23" s="11"/>
      <c r="K23" s="11"/>
      <c r="L23" s="545">
        <f t="shared" si="36"/>
        <v>0</v>
      </c>
      <c r="M23" s="11">
        <f t="shared" si="51"/>
        <v>0</v>
      </c>
      <c r="N23" s="11"/>
      <c r="O23" s="861">
        <f t="shared" si="52"/>
        <v>0</v>
      </c>
      <c r="P23" s="444"/>
      <c r="Q23" s="17"/>
      <c r="R23" s="555"/>
      <c r="S23" s="555"/>
      <c r="T23" s="554">
        <f t="shared" si="53"/>
        <v>0</v>
      </c>
      <c r="U23" s="556">
        <f t="shared" si="37"/>
        <v>0</v>
      </c>
      <c r="V23" s="433">
        <f t="shared" si="38"/>
        <v>0</v>
      </c>
      <c r="W23" s="11"/>
      <c r="X23" s="11"/>
      <c r="Y23" s="556">
        <f t="shared" si="39"/>
        <v>0</v>
      </c>
      <c r="Z23" s="11">
        <f t="shared" si="40"/>
        <v>0</v>
      </c>
      <c r="AA23" s="11"/>
      <c r="AB23" s="11"/>
      <c r="AC23" s="554">
        <f t="shared" si="41"/>
        <v>0</v>
      </c>
      <c r="AD23" s="433">
        <f t="shared" si="42"/>
        <v>0</v>
      </c>
      <c r="AE23" s="11">
        <f t="shared" si="43"/>
        <v>0</v>
      </c>
      <c r="AF23" s="11">
        <f t="shared" si="43"/>
        <v>0</v>
      </c>
      <c r="AG23" s="544">
        <f t="shared" si="44"/>
        <v>0</v>
      </c>
      <c r="AH23" s="11"/>
      <c r="AI23" s="1084"/>
      <c r="AJ23" s="850"/>
      <c r="AK23" s="913"/>
      <c r="AL23" s="557"/>
      <c r="AM23" s="557">
        <f t="shared" si="32"/>
        <v>0</v>
      </c>
      <c r="AN23" s="1233"/>
      <c r="AO23" s="17"/>
      <c r="AP23" s="17"/>
      <c r="AQ23" s="554">
        <f t="shared" si="54"/>
        <v>0</v>
      </c>
      <c r="AR23" s="545">
        <f t="shared" si="34"/>
        <v>0</v>
      </c>
      <c r="AS23" s="11">
        <f t="shared" si="45"/>
        <v>0</v>
      </c>
      <c r="AT23" s="11">
        <f t="shared" si="55"/>
        <v>0</v>
      </c>
      <c r="AU23" s="11">
        <f t="shared" si="46"/>
        <v>0</v>
      </c>
      <c r="AV23" s="545">
        <f t="shared" si="35"/>
        <v>0</v>
      </c>
      <c r="AW23" s="11">
        <f t="shared" si="47"/>
        <v>0</v>
      </c>
      <c r="AX23" s="11">
        <f t="shared" si="48"/>
        <v>0</v>
      </c>
      <c r="AY23" s="11">
        <f t="shared" si="48"/>
        <v>0</v>
      </c>
      <c r="AZ23" s="18">
        <f t="shared" si="56"/>
        <v>0</v>
      </c>
      <c r="BA23" s="18">
        <f t="shared" si="56"/>
        <v>0</v>
      </c>
      <c r="BB23" s="19">
        <f t="shared" si="57"/>
        <v>0</v>
      </c>
      <c r="BC23" s="544">
        <f t="shared" si="58"/>
        <v>0</v>
      </c>
      <c r="BD23" s="544"/>
      <c r="BE23" s="11"/>
      <c r="BF23" s="445"/>
      <c r="BG23" s="439"/>
      <c r="BH23" s="439"/>
      <c r="BI23" s="11"/>
    </row>
    <row r="24" spans="1:61">
      <c r="A24" s="11">
        <v>7</v>
      </c>
      <c r="B24" s="1131" t="s">
        <v>814</v>
      </c>
      <c r="C24" s="17">
        <v>130.80000000000001</v>
      </c>
      <c r="D24" s="17">
        <v>14.4</v>
      </c>
      <c r="E24" s="11">
        <v>13965.1</v>
      </c>
      <c r="F24" s="11">
        <v>1216.0999999999999</v>
      </c>
      <c r="G24" s="555">
        <v>8897.23</v>
      </c>
      <c r="H24" s="545">
        <f t="shared" si="49"/>
        <v>13965.1</v>
      </c>
      <c r="I24" s="11">
        <f t="shared" si="50"/>
        <v>13965.1</v>
      </c>
      <c r="J24" s="11"/>
      <c r="K24" s="11">
        <v>0</v>
      </c>
      <c r="L24" s="545">
        <f t="shared" si="36"/>
        <v>1216.0999999999999</v>
      </c>
      <c r="M24" s="11">
        <f t="shared" si="51"/>
        <v>1216.0999999999999</v>
      </c>
      <c r="N24" s="11"/>
      <c r="O24" s="861">
        <f t="shared" si="52"/>
        <v>14.399999999999977</v>
      </c>
      <c r="P24" s="444">
        <v>145.19999999999999</v>
      </c>
      <c r="Q24" s="17">
        <v>20.6</v>
      </c>
      <c r="R24" s="555">
        <v>8897.23</v>
      </c>
      <c r="S24" s="555">
        <f>ROUND(F24/D24/12*1000,2)</f>
        <v>7037.62</v>
      </c>
      <c r="T24" s="554">
        <f t="shared" si="53"/>
        <v>17242233.210000001</v>
      </c>
      <c r="U24" s="556">
        <f t="shared" si="37"/>
        <v>15502533.550000001</v>
      </c>
      <c r="V24" s="433">
        <f t="shared" si="38"/>
        <v>15502533.550000001</v>
      </c>
      <c r="W24" s="11"/>
      <c r="X24" s="11"/>
      <c r="Y24" s="556">
        <f t="shared" si="39"/>
        <v>1739699.66</v>
      </c>
      <c r="Z24" s="11">
        <f t="shared" si="40"/>
        <v>1739699.66</v>
      </c>
      <c r="AA24" s="11"/>
      <c r="AB24" s="11"/>
      <c r="AC24" s="554">
        <f t="shared" si="41"/>
        <v>17242233.210000001</v>
      </c>
      <c r="AD24" s="433">
        <f t="shared" si="42"/>
        <v>17242233.210000001</v>
      </c>
      <c r="AE24" s="11">
        <f t="shared" si="43"/>
        <v>0</v>
      </c>
      <c r="AF24" s="11">
        <f t="shared" si="43"/>
        <v>0</v>
      </c>
      <c r="AG24" s="544">
        <f t="shared" si="44"/>
        <v>22449387.640000001</v>
      </c>
      <c r="AH24" s="11"/>
      <c r="AI24" s="1084"/>
      <c r="AJ24" s="850"/>
      <c r="AK24" s="913"/>
      <c r="AL24" s="557">
        <v>8897.23</v>
      </c>
      <c r="AM24" s="557">
        <f t="shared" si="32"/>
        <v>7037.62</v>
      </c>
      <c r="AN24" s="1233">
        <f>AO24-P24</f>
        <v>8.1000000000000227</v>
      </c>
      <c r="AO24" s="17">
        <v>153.30000000000001</v>
      </c>
      <c r="AP24" s="17">
        <v>21.8</v>
      </c>
      <c r="AQ24" s="554">
        <f t="shared" si="54"/>
        <v>18208385.690000001</v>
      </c>
      <c r="AR24" s="545">
        <f t="shared" si="34"/>
        <v>16367344.300000001</v>
      </c>
      <c r="AS24" s="11">
        <f t="shared" si="45"/>
        <v>16367344.300000001</v>
      </c>
      <c r="AT24" s="11">
        <f t="shared" si="55"/>
        <v>0</v>
      </c>
      <c r="AU24" s="11">
        <f t="shared" si="46"/>
        <v>0</v>
      </c>
      <c r="AV24" s="545">
        <f t="shared" si="35"/>
        <v>1841041.39</v>
      </c>
      <c r="AW24" s="11">
        <f t="shared" si="47"/>
        <v>1841041.39</v>
      </c>
      <c r="AX24" s="11">
        <f t="shared" si="48"/>
        <v>0</v>
      </c>
      <c r="AY24" s="11">
        <f t="shared" si="48"/>
        <v>0</v>
      </c>
      <c r="AZ24" s="18">
        <f t="shared" si="56"/>
        <v>0</v>
      </c>
      <c r="BA24" s="18">
        <f t="shared" si="56"/>
        <v>0</v>
      </c>
      <c r="BB24" s="19">
        <f t="shared" si="57"/>
        <v>18208385.690000001</v>
      </c>
      <c r="BC24" s="544">
        <f t="shared" si="58"/>
        <v>23707318.199999999</v>
      </c>
      <c r="BD24" s="544"/>
      <c r="BE24" s="11"/>
      <c r="BF24" s="445"/>
      <c r="BG24" s="439"/>
      <c r="BH24" s="439"/>
      <c r="BI24" s="11"/>
    </row>
    <row r="25" spans="1:61">
      <c r="A25" s="11"/>
      <c r="B25" s="1132" t="s">
        <v>815</v>
      </c>
      <c r="C25" s="17"/>
      <c r="D25" s="17"/>
      <c r="E25" s="11"/>
      <c r="F25" s="11"/>
      <c r="G25" s="555"/>
      <c r="H25" s="545"/>
      <c r="I25" s="11"/>
      <c r="J25" s="11"/>
      <c r="K25" s="11"/>
      <c r="L25" s="545"/>
      <c r="M25" s="11"/>
      <c r="N25" s="11"/>
      <c r="O25" s="861"/>
      <c r="P25" s="444"/>
      <c r="Q25" s="17"/>
      <c r="R25" s="555"/>
      <c r="S25" s="555"/>
      <c r="T25" s="554"/>
      <c r="U25" s="556"/>
      <c r="V25" s="433"/>
      <c r="W25" s="11"/>
      <c r="X25" s="11"/>
      <c r="Y25" s="556"/>
      <c r="Z25" s="11"/>
      <c r="AA25" s="11"/>
      <c r="AB25" s="11"/>
      <c r="AC25" s="554"/>
      <c r="AD25" s="433"/>
      <c r="AE25" s="11"/>
      <c r="AF25" s="11"/>
      <c r="AG25" s="544"/>
      <c r="AH25" s="11"/>
      <c r="AI25" s="1084"/>
      <c r="AJ25" s="850"/>
      <c r="AK25" s="1046"/>
      <c r="AL25" s="557"/>
      <c r="AM25" s="557"/>
      <c r="AN25" s="1233"/>
      <c r="AO25" s="17"/>
      <c r="AP25" s="17"/>
      <c r="AQ25" s="554"/>
      <c r="AR25" s="545"/>
      <c r="AS25" s="11"/>
      <c r="AT25" s="11"/>
      <c r="AU25" s="11"/>
      <c r="AV25" s="545"/>
      <c r="AW25" s="11"/>
      <c r="AX25" s="11"/>
      <c r="AY25" s="11"/>
      <c r="AZ25" s="18"/>
      <c r="BA25" s="18"/>
      <c r="BB25" s="19"/>
      <c r="BC25" s="544"/>
      <c r="BD25" s="544"/>
      <c r="BE25" s="1045"/>
      <c r="BF25" s="445"/>
      <c r="BG25" s="1130"/>
      <c r="BH25" s="1130"/>
      <c r="BI25" s="11"/>
    </row>
    <row r="26" spans="1:61" ht="19.149999999999999" customHeight="1">
      <c r="A26" s="545">
        <v>2</v>
      </c>
      <c r="B26" s="426" t="s">
        <v>75</v>
      </c>
      <c r="C26" s="545">
        <f>C27+C28+C29+C30+C31+C32+C33</f>
        <v>199.6</v>
      </c>
      <c r="D26" s="545">
        <f t="shared" ref="D26:Q26" si="59">D27+D28+D29+D30+D31+D32+D33</f>
        <v>0</v>
      </c>
      <c r="E26" s="545">
        <f t="shared" si="59"/>
        <v>42351.399999999994</v>
      </c>
      <c r="F26" s="545">
        <f t="shared" si="59"/>
        <v>0</v>
      </c>
      <c r="G26" s="558">
        <v>17681.78</v>
      </c>
      <c r="H26" s="545">
        <f t="shared" si="59"/>
        <v>42351.399999999994</v>
      </c>
      <c r="I26" s="545">
        <f t="shared" si="59"/>
        <v>40727</v>
      </c>
      <c r="J26" s="545">
        <f t="shared" si="59"/>
        <v>0</v>
      </c>
      <c r="K26" s="545">
        <f t="shared" si="59"/>
        <v>1624.4</v>
      </c>
      <c r="L26" s="545">
        <f t="shared" si="59"/>
        <v>0</v>
      </c>
      <c r="M26" s="545">
        <f t="shared" si="59"/>
        <v>0</v>
      </c>
      <c r="N26" s="545">
        <f t="shared" si="59"/>
        <v>0</v>
      </c>
      <c r="O26" s="559">
        <f t="shared" si="59"/>
        <v>10.400000000000002</v>
      </c>
      <c r="P26" s="560">
        <f t="shared" si="59"/>
        <v>210</v>
      </c>
      <c r="Q26" s="545">
        <f t="shared" si="59"/>
        <v>0</v>
      </c>
      <c r="R26" s="558">
        <v>17681.78</v>
      </c>
      <c r="S26" s="558"/>
      <c r="T26" s="561">
        <f>SUM(T27:T33)</f>
        <v>44792065.68</v>
      </c>
      <c r="U26" s="545">
        <f t="shared" ref="U26:AG26" si="60">U27+U28+U29+U30+U31+U32+U33</f>
        <v>44792065.68</v>
      </c>
      <c r="V26" s="545">
        <f t="shared" si="60"/>
        <v>43007065.680000007</v>
      </c>
      <c r="W26" s="545">
        <f t="shared" si="60"/>
        <v>0</v>
      </c>
      <c r="X26" s="545">
        <f t="shared" si="60"/>
        <v>1785000</v>
      </c>
      <c r="Y26" s="545">
        <f t="shared" si="60"/>
        <v>0</v>
      </c>
      <c r="Z26" s="545">
        <f t="shared" si="60"/>
        <v>0</v>
      </c>
      <c r="AA26" s="545">
        <f t="shared" si="60"/>
        <v>0</v>
      </c>
      <c r="AB26" s="545">
        <f t="shared" si="60"/>
        <v>0</v>
      </c>
      <c r="AC26" s="545">
        <f t="shared" si="60"/>
        <v>44792065.68</v>
      </c>
      <c r="AD26" s="545">
        <f t="shared" si="60"/>
        <v>43007065.680000007</v>
      </c>
      <c r="AE26" s="545">
        <f t="shared" si="60"/>
        <v>0</v>
      </c>
      <c r="AF26" s="545">
        <f t="shared" si="60"/>
        <v>1785000</v>
      </c>
      <c r="AG26" s="545">
        <f t="shared" si="60"/>
        <v>55995199.510000005</v>
      </c>
      <c r="AH26" s="558">
        <v>1928300</v>
      </c>
      <c r="AI26" s="1086">
        <v>55237879.840000004</v>
      </c>
      <c r="AJ26" s="765">
        <f>AH26+AG26</f>
        <v>57923499.510000005</v>
      </c>
      <c r="AK26" s="1087">
        <f>AJ26-AI26</f>
        <v>2685619.6700000018</v>
      </c>
      <c r="AL26" s="563">
        <v>17681.78</v>
      </c>
      <c r="AM26" s="563">
        <f t="shared" si="32"/>
        <v>0</v>
      </c>
      <c r="AN26" s="545">
        <f>AN27+AN28+AN29+AN30+AN31+AN32+AN33</f>
        <v>0</v>
      </c>
      <c r="AO26" s="545">
        <f>AO27+AO28+AO29+AO30+AO31+AO32+AO33</f>
        <v>210</v>
      </c>
      <c r="AP26" s="545">
        <f t="shared" ref="AP26:BC26" si="61">AP27+AP28+AP29+AP30+AP31+AP32+AP33</f>
        <v>0</v>
      </c>
      <c r="AQ26" s="561">
        <f>SUM(AQ27:AQ33)</f>
        <v>42886806.5</v>
      </c>
      <c r="AR26" s="545">
        <f t="shared" si="34"/>
        <v>44558085.600000001</v>
      </c>
      <c r="AS26" s="545">
        <f t="shared" si="61"/>
        <v>41101806.5</v>
      </c>
      <c r="AT26" s="545">
        <f t="shared" si="61"/>
        <v>0</v>
      </c>
      <c r="AU26" s="545">
        <f t="shared" si="61"/>
        <v>1785000</v>
      </c>
      <c r="AV26" s="545">
        <f t="shared" si="35"/>
        <v>0</v>
      </c>
      <c r="AW26" s="545">
        <f>AW27+AW28+AW29+AW30+AW31+AW32+AW33</f>
        <v>0</v>
      </c>
      <c r="AX26" s="545">
        <f t="shared" si="61"/>
        <v>0</v>
      </c>
      <c r="AY26" s="545">
        <f t="shared" si="61"/>
        <v>0</v>
      </c>
      <c r="AZ26" s="545">
        <f t="shared" si="61"/>
        <v>0</v>
      </c>
      <c r="BA26" s="545">
        <f t="shared" si="61"/>
        <v>1785000</v>
      </c>
      <c r="BB26" s="545">
        <f t="shared" si="61"/>
        <v>41101806.5</v>
      </c>
      <c r="BC26" s="545">
        <f t="shared" si="61"/>
        <v>53514552.100000001</v>
      </c>
      <c r="BD26" s="558">
        <v>1962400</v>
      </c>
      <c r="BE26" s="564">
        <f>BD26+BC26</f>
        <v>55476952.100000001</v>
      </c>
      <c r="BF26" s="562">
        <v>55237879.840000004</v>
      </c>
      <c r="BG26" s="866">
        <f>BE26-BF26</f>
        <v>239072.25999999791</v>
      </c>
      <c r="BH26" s="875">
        <f>AG26+AH26</f>
        <v>57923499.510000005</v>
      </c>
      <c r="BI26" s="876">
        <f>BH26-AI26</f>
        <v>2685619.6700000018</v>
      </c>
    </row>
    <row r="27" spans="1:61">
      <c r="A27" s="11">
        <v>1</v>
      </c>
      <c r="B27" s="13" t="s">
        <v>71</v>
      </c>
      <c r="C27" s="17">
        <v>4</v>
      </c>
      <c r="D27" s="17">
        <v>0</v>
      </c>
      <c r="E27" s="11">
        <v>1949</v>
      </c>
      <c r="F27" s="11"/>
      <c r="G27" s="555">
        <v>40604.17</v>
      </c>
      <c r="H27" s="545">
        <f>I27+J27+K27</f>
        <v>1949</v>
      </c>
      <c r="I27" s="11">
        <f t="shared" ref="I27:I33" si="62">E27-K27-J27</f>
        <v>1872.3</v>
      </c>
      <c r="J27" s="11"/>
      <c r="K27" s="11">
        <v>76.7</v>
      </c>
      <c r="L27" s="545">
        <f t="shared" ref="L27:L33" si="63">M27+N27</f>
        <v>0</v>
      </c>
      <c r="M27" s="11">
        <f>F27-N27</f>
        <v>0</v>
      </c>
      <c r="N27" s="11"/>
      <c r="O27" s="861">
        <f>P27-C27</f>
        <v>0</v>
      </c>
      <c r="P27" s="17">
        <v>4</v>
      </c>
      <c r="Q27" s="17"/>
      <c r="R27" s="555">
        <v>40604.17</v>
      </c>
      <c r="S27" s="555"/>
      <c r="T27" s="554">
        <f>U27+Y27</f>
        <v>1949000.16</v>
      </c>
      <c r="U27" s="556">
        <f t="shared" ref="U27:U33" si="64">ROUND(R27*P27*12,2)</f>
        <v>1949000.16</v>
      </c>
      <c r="V27" s="433">
        <f t="shared" ref="V27:V33" si="65">U27-W27-X27</f>
        <v>1875000.16</v>
      </c>
      <c r="W27" s="11"/>
      <c r="X27" s="11">
        <v>74000</v>
      </c>
      <c r="Y27" s="556">
        <f t="shared" ref="Y27:Y33" si="66">ROUND(S27*Q27*12,2)</f>
        <v>0</v>
      </c>
      <c r="Z27" s="11">
        <f t="shared" ref="Z27:Z33" si="67">Y27-AA27-AB27</f>
        <v>0</v>
      </c>
      <c r="AA27" s="11"/>
      <c r="AB27" s="11"/>
      <c r="AC27" s="554">
        <f t="shared" ref="AC27:AC33" si="68">AD27+AE27+AF27</f>
        <v>1949000.16</v>
      </c>
      <c r="AD27" s="433">
        <f t="shared" ref="AD27:AD33" si="69">ROUND((Z27+V27),2)</f>
        <v>1875000.16</v>
      </c>
      <c r="AE27" s="11">
        <f t="shared" ref="AE27:AF33" si="70">AA27+W27</f>
        <v>0</v>
      </c>
      <c r="AF27" s="11">
        <f t="shared" si="70"/>
        <v>74000</v>
      </c>
      <c r="AG27" s="544">
        <f t="shared" ref="AG27:AG33" si="71">ROUND(AD27*1.302,2)</f>
        <v>2441250.21</v>
      </c>
      <c r="AH27" s="877">
        <v>2153200</v>
      </c>
      <c r="AI27" s="1084"/>
      <c r="AJ27" s="850"/>
      <c r="AK27" s="850"/>
      <c r="AL27" s="557">
        <v>40604.17</v>
      </c>
      <c r="AM27" s="557">
        <f t="shared" si="32"/>
        <v>0</v>
      </c>
      <c r="AN27" s="1233">
        <f>AO27-P27</f>
        <v>0</v>
      </c>
      <c r="AO27" s="17">
        <v>4</v>
      </c>
      <c r="AP27" s="17"/>
      <c r="AQ27" s="554">
        <f>AR27+AV27</f>
        <v>1949000.2</v>
      </c>
      <c r="AR27" s="545">
        <f t="shared" si="34"/>
        <v>1949000.2</v>
      </c>
      <c r="AS27" s="11">
        <f t="shared" ref="AS27:AS33" si="72">AR27-AT27-AU27</f>
        <v>1875000.2</v>
      </c>
      <c r="AT27" s="11">
        <f>W27</f>
        <v>0</v>
      </c>
      <c r="AU27" s="11">
        <v>74000</v>
      </c>
      <c r="AV27" s="545">
        <f t="shared" si="35"/>
        <v>0</v>
      </c>
      <c r="AW27" s="11">
        <f t="shared" ref="AW27:AW33" si="73">AV27-AX27-AY27</f>
        <v>0</v>
      </c>
      <c r="AX27" s="11">
        <f t="shared" ref="AX27:AY33" si="74">AA27</f>
        <v>0</v>
      </c>
      <c r="AY27" s="11">
        <f t="shared" si="74"/>
        <v>0</v>
      </c>
      <c r="AZ27" s="18">
        <f>AX27+AT27</f>
        <v>0</v>
      </c>
      <c r="BA27" s="18">
        <f t="shared" ref="BA27:BA33" si="75">AY27+AU27</f>
        <v>74000</v>
      </c>
      <c r="BB27" s="19">
        <f>AW27+AS27</f>
        <v>1875000.2</v>
      </c>
      <c r="BC27" s="544">
        <f>ROUND(BB27*1.302,1)</f>
        <v>2441250.2999999998</v>
      </c>
      <c r="BD27" s="544"/>
      <c r="BE27" s="11"/>
      <c r="BF27" s="445"/>
      <c r="BG27" s="439"/>
      <c r="BH27" s="439"/>
      <c r="BI27" s="11"/>
    </row>
    <row r="28" spans="1:61">
      <c r="A28" s="11">
        <v>2</v>
      </c>
      <c r="B28" s="13" t="s">
        <v>72</v>
      </c>
      <c r="C28" s="17">
        <v>10.8</v>
      </c>
      <c r="D28" s="17"/>
      <c r="E28" s="11">
        <v>3850</v>
      </c>
      <c r="F28" s="11"/>
      <c r="G28" s="555">
        <v>29706.79</v>
      </c>
      <c r="H28" s="545">
        <f t="shared" ref="H28:H33" si="76">I28+J28+K28</f>
        <v>3850</v>
      </c>
      <c r="I28" s="11">
        <f t="shared" si="62"/>
        <v>3675.4</v>
      </c>
      <c r="J28" s="11"/>
      <c r="K28" s="11">
        <v>174.6</v>
      </c>
      <c r="L28" s="545">
        <f t="shared" si="63"/>
        <v>0</v>
      </c>
      <c r="M28" s="11">
        <f t="shared" ref="M28:M33" si="77">F28-N28</f>
        <v>0</v>
      </c>
      <c r="N28" s="11"/>
      <c r="O28" s="861">
        <f t="shared" ref="O28:O33" si="78">P28-C28</f>
        <v>-0.80000000000000071</v>
      </c>
      <c r="P28" s="17">
        <v>10</v>
      </c>
      <c r="Q28" s="17"/>
      <c r="R28" s="555">
        <v>29706.79</v>
      </c>
      <c r="S28" s="555"/>
      <c r="T28" s="554">
        <f t="shared" ref="T28:T33" si="79">U28+Y28</f>
        <v>3564814.8</v>
      </c>
      <c r="U28" s="556">
        <f t="shared" si="64"/>
        <v>3564814.8</v>
      </c>
      <c r="V28" s="433">
        <f t="shared" si="65"/>
        <v>3403814.8</v>
      </c>
      <c r="W28" s="11"/>
      <c r="X28" s="11">
        <v>161000</v>
      </c>
      <c r="Y28" s="556">
        <f t="shared" si="66"/>
        <v>0</v>
      </c>
      <c r="Z28" s="11">
        <f t="shared" si="67"/>
        <v>0</v>
      </c>
      <c r="AA28" s="11"/>
      <c r="AB28" s="11"/>
      <c r="AC28" s="554">
        <f t="shared" si="68"/>
        <v>3564814.8</v>
      </c>
      <c r="AD28" s="433">
        <f t="shared" si="69"/>
        <v>3403814.8</v>
      </c>
      <c r="AE28" s="11">
        <f t="shared" si="70"/>
        <v>0</v>
      </c>
      <c r="AF28" s="11">
        <f t="shared" si="70"/>
        <v>161000</v>
      </c>
      <c r="AG28" s="544">
        <f t="shared" si="71"/>
        <v>4431766.87</v>
      </c>
      <c r="AH28" s="11"/>
      <c r="AI28" s="1084"/>
      <c r="AJ28" s="850"/>
      <c r="AK28" s="850"/>
      <c r="AL28" s="557">
        <v>29706.79</v>
      </c>
      <c r="AM28" s="557">
        <f t="shared" si="32"/>
        <v>0</v>
      </c>
      <c r="AN28" s="1233"/>
      <c r="AO28" s="17">
        <v>10</v>
      </c>
      <c r="AP28" s="17"/>
      <c r="AQ28" s="554">
        <f t="shared" ref="AQ28:AQ33" si="80">AR28+AV28</f>
        <v>3564814.8</v>
      </c>
      <c r="AR28" s="545">
        <f t="shared" si="34"/>
        <v>3564814.8</v>
      </c>
      <c r="AS28" s="11">
        <f t="shared" si="72"/>
        <v>3403814.8</v>
      </c>
      <c r="AT28" s="11">
        <f t="shared" ref="AT28:AU33" si="81">W28</f>
        <v>0</v>
      </c>
      <c r="AU28" s="11">
        <v>161000</v>
      </c>
      <c r="AV28" s="545">
        <f t="shared" si="35"/>
        <v>0</v>
      </c>
      <c r="AW28" s="11">
        <f t="shared" si="73"/>
        <v>0</v>
      </c>
      <c r="AX28" s="11">
        <f t="shared" si="74"/>
        <v>0</v>
      </c>
      <c r="AY28" s="11">
        <f t="shared" si="74"/>
        <v>0</v>
      </c>
      <c r="AZ28" s="18">
        <f t="shared" ref="AZ28:AZ33" si="82">AX28+AT28</f>
        <v>0</v>
      </c>
      <c r="BA28" s="18">
        <f t="shared" si="75"/>
        <v>161000</v>
      </c>
      <c r="BB28" s="19">
        <f t="shared" ref="BB28:BB33" si="83">AW28+AS28</f>
        <v>3403814.8</v>
      </c>
      <c r="BC28" s="544">
        <f t="shared" ref="BC28:BC33" si="84">ROUND(BB28*1.302,1)</f>
        <v>4431766.9000000004</v>
      </c>
      <c r="BD28" s="544"/>
      <c r="BE28" s="11"/>
      <c r="BF28" s="445"/>
      <c r="BG28" s="439"/>
      <c r="BH28" s="439"/>
      <c r="BI28" s="11"/>
    </row>
    <row r="29" spans="1:61">
      <c r="A29" s="11">
        <v>3</v>
      </c>
      <c r="B29" s="14" t="s">
        <v>76</v>
      </c>
      <c r="C29" s="17">
        <v>102.3</v>
      </c>
      <c r="D29" s="17">
        <v>0</v>
      </c>
      <c r="E29" s="11">
        <v>26699.8</v>
      </c>
      <c r="F29" s="11"/>
      <c r="G29" s="29">
        <v>21749.59</v>
      </c>
      <c r="H29" s="545">
        <f t="shared" si="76"/>
        <v>26699.8</v>
      </c>
      <c r="I29" s="11">
        <f t="shared" si="62"/>
        <v>25358.399999999998</v>
      </c>
      <c r="J29" s="11"/>
      <c r="K29" s="11">
        <v>1341.4</v>
      </c>
      <c r="L29" s="545">
        <f t="shared" si="63"/>
        <v>0</v>
      </c>
      <c r="M29" s="11">
        <f t="shared" si="77"/>
        <v>0</v>
      </c>
      <c r="N29" s="11"/>
      <c r="O29" s="861">
        <f t="shared" si="78"/>
        <v>-7.2999999999999972</v>
      </c>
      <c r="P29" s="17">
        <v>95</v>
      </c>
      <c r="Q29" s="17"/>
      <c r="R29" s="874">
        <v>23420.87</v>
      </c>
      <c r="S29" s="555"/>
      <c r="T29" s="554">
        <f t="shared" si="79"/>
        <v>26699791.800000001</v>
      </c>
      <c r="U29" s="556">
        <f t="shared" si="64"/>
        <v>26699791.800000001</v>
      </c>
      <c r="V29" s="433">
        <f t="shared" si="65"/>
        <v>25231791.800000001</v>
      </c>
      <c r="W29" s="11"/>
      <c r="X29" s="11">
        <v>1468000</v>
      </c>
      <c r="Y29" s="556">
        <f t="shared" si="66"/>
        <v>0</v>
      </c>
      <c r="Z29" s="11">
        <f t="shared" si="67"/>
        <v>0</v>
      </c>
      <c r="AA29" s="11"/>
      <c r="AB29" s="11"/>
      <c r="AC29" s="554">
        <f t="shared" si="68"/>
        <v>26699791.800000001</v>
      </c>
      <c r="AD29" s="433">
        <f t="shared" si="69"/>
        <v>25231791.800000001</v>
      </c>
      <c r="AE29" s="11">
        <f t="shared" si="70"/>
        <v>0</v>
      </c>
      <c r="AF29" s="11">
        <f t="shared" si="70"/>
        <v>1468000</v>
      </c>
      <c r="AG29" s="544">
        <f t="shared" si="71"/>
        <v>32851792.920000002</v>
      </c>
      <c r="AH29" s="11"/>
      <c r="AI29" s="1084"/>
      <c r="AJ29" s="850"/>
      <c r="AK29" s="850"/>
      <c r="AL29" s="440">
        <v>21749.59</v>
      </c>
      <c r="AM29" s="557">
        <f t="shared" si="32"/>
        <v>0</v>
      </c>
      <c r="AN29" s="1233"/>
      <c r="AO29" s="17">
        <v>95</v>
      </c>
      <c r="AP29" s="17"/>
      <c r="AQ29" s="554">
        <f t="shared" si="80"/>
        <v>24794532.600000001</v>
      </c>
      <c r="AR29" s="545">
        <f t="shared" si="34"/>
        <v>24794532.600000001</v>
      </c>
      <c r="AS29" s="11">
        <f t="shared" si="72"/>
        <v>23326532.600000001</v>
      </c>
      <c r="AT29" s="11">
        <f t="shared" si="81"/>
        <v>0</v>
      </c>
      <c r="AU29" s="11">
        <v>1468000</v>
      </c>
      <c r="AV29" s="545">
        <f t="shared" si="35"/>
        <v>0</v>
      </c>
      <c r="AW29" s="11">
        <f t="shared" si="73"/>
        <v>0</v>
      </c>
      <c r="AX29" s="11">
        <f t="shared" si="74"/>
        <v>0</v>
      </c>
      <c r="AY29" s="11">
        <f t="shared" si="74"/>
        <v>0</v>
      </c>
      <c r="AZ29" s="18">
        <f t="shared" si="82"/>
        <v>0</v>
      </c>
      <c r="BA29" s="18">
        <f t="shared" si="75"/>
        <v>1468000</v>
      </c>
      <c r="BB29" s="19">
        <f t="shared" si="83"/>
        <v>23326532.600000001</v>
      </c>
      <c r="BC29" s="544">
        <f t="shared" si="84"/>
        <v>30371145.399999999</v>
      </c>
      <c r="BD29" s="544"/>
      <c r="BE29" s="11"/>
      <c r="BF29" s="445"/>
      <c r="BG29" s="439"/>
      <c r="BH29" s="439"/>
      <c r="BI29" s="11"/>
    </row>
    <row r="30" spans="1:61">
      <c r="A30" s="11">
        <v>4</v>
      </c>
      <c r="B30" s="14" t="s">
        <v>77</v>
      </c>
      <c r="C30" s="17">
        <v>2</v>
      </c>
      <c r="D30" s="17"/>
      <c r="E30" s="11">
        <v>460.3</v>
      </c>
      <c r="F30" s="11"/>
      <c r="G30" s="432">
        <v>19179.169999999998</v>
      </c>
      <c r="H30" s="545">
        <f t="shared" si="76"/>
        <v>460.3</v>
      </c>
      <c r="I30" s="11">
        <f t="shared" si="62"/>
        <v>430.90000000000003</v>
      </c>
      <c r="J30" s="11"/>
      <c r="K30" s="11">
        <v>29.4</v>
      </c>
      <c r="L30" s="545">
        <f t="shared" si="63"/>
        <v>0</v>
      </c>
      <c r="M30" s="11">
        <f t="shared" si="77"/>
        <v>0</v>
      </c>
      <c r="N30" s="11"/>
      <c r="O30" s="861">
        <f t="shared" si="78"/>
        <v>5</v>
      </c>
      <c r="P30" s="17">
        <v>7</v>
      </c>
      <c r="Q30" s="17"/>
      <c r="R30" s="432">
        <v>19179.169999999998</v>
      </c>
      <c r="S30" s="555"/>
      <c r="T30" s="554">
        <f t="shared" si="79"/>
        <v>1611050.28</v>
      </c>
      <c r="U30" s="556">
        <f t="shared" si="64"/>
        <v>1611050.28</v>
      </c>
      <c r="V30" s="433">
        <f t="shared" si="65"/>
        <v>1529050.28</v>
      </c>
      <c r="W30" s="11"/>
      <c r="X30" s="11">
        <v>82000</v>
      </c>
      <c r="Y30" s="556">
        <f t="shared" si="66"/>
        <v>0</v>
      </c>
      <c r="Z30" s="11">
        <f t="shared" si="67"/>
        <v>0</v>
      </c>
      <c r="AA30" s="11"/>
      <c r="AB30" s="11"/>
      <c r="AC30" s="554">
        <f t="shared" si="68"/>
        <v>1611050.28</v>
      </c>
      <c r="AD30" s="433">
        <f t="shared" si="69"/>
        <v>1529050.28</v>
      </c>
      <c r="AE30" s="11">
        <f t="shared" si="70"/>
        <v>0</v>
      </c>
      <c r="AF30" s="11">
        <f t="shared" si="70"/>
        <v>82000</v>
      </c>
      <c r="AG30" s="544">
        <f t="shared" si="71"/>
        <v>1990823.46</v>
      </c>
      <c r="AH30" s="11"/>
      <c r="AI30" s="1084"/>
      <c r="AJ30" s="850"/>
      <c r="AK30" s="850"/>
      <c r="AL30" s="441">
        <v>19179.169999999998</v>
      </c>
      <c r="AM30" s="557">
        <f t="shared" si="32"/>
        <v>0</v>
      </c>
      <c r="AN30" s="1233"/>
      <c r="AO30" s="17">
        <v>7</v>
      </c>
      <c r="AP30" s="17"/>
      <c r="AQ30" s="554">
        <f t="shared" si="80"/>
        <v>1611050.3</v>
      </c>
      <c r="AR30" s="545">
        <f t="shared" si="34"/>
        <v>1611050.3</v>
      </c>
      <c r="AS30" s="11">
        <f t="shared" si="72"/>
        <v>1529050.3</v>
      </c>
      <c r="AT30" s="11">
        <f t="shared" si="81"/>
        <v>0</v>
      </c>
      <c r="AU30" s="11">
        <v>82000</v>
      </c>
      <c r="AV30" s="545">
        <f t="shared" si="35"/>
        <v>0</v>
      </c>
      <c r="AW30" s="11">
        <f t="shared" si="73"/>
        <v>0</v>
      </c>
      <c r="AX30" s="11">
        <f t="shared" si="74"/>
        <v>0</v>
      </c>
      <c r="AY30" s="11">
        <f t="shared" si="74"/>
        <v>0</v>
      </c>
      <c r="AZ30" s="18">
        <f t="shared" si="82"/>
        <v>0</v>
      </c>
      <c r="BA30" s="18">
        <f t="shared" si="75"/>
        <v>82000</v>
      </c>
      <c r="BB30" s="19">
        <f t="shared" si="83"/>
        <v>1529050.3</v>
      </c>
      <c r="BC30" s="544">
        <f t="shared" si="84"/>
        <v>1990823.5</v>
      </c>
      <c r="BD30" s="544"/>
      <c r="BE30" s="11"/>
      <c r="BF30" s="445"/>
      <c r="BG30" s="439"/>
      <c r="BH30" s="439"/>
      <c r="BI30" s="11"/>
    </row>
    <row r="31" spans="1:61">
      <c r="A31" s="11">
        <v>5</v>
      </c>
      <c r="B31" s="13" t="s">
        <v>73</v>
      </c>
      <c r="C31" s="17"/>
      <c r="D31" s="17"/>
      <c r="E31" s="11"/>
      <c r="F31" s="11"/>
      <c r="G31" s="555"/>
      <c r="H31" s="545">
        <f t="shared" si="76"/>
        <v>0</v>
      </c>
      <c r="I31" s="11">
        <f t="shared" si="62"/>
        <v>0</v>
      </c>
      <c r="J31" s="11"/>
      <c r="K31" s="11"/>
      <c r="L31" s="545">
        <f t="shared" si="63"/>
        <v>0</v>
      </c>
      <c r="M31" s="11">
        <f t="shared" si="77"/>
        <v>0</v>
      </c>
      <c r="N31" s="11"/>
      <c r="O31" s="861">
        <f t="shared" si="78"/>
        <v>0</v>
      </c>
      <c r="P31" s="17"/>
      <c r="Q31" s="17"/>
      <c r="R31" s="555"/>
      <c r="S31" s="555"/>
      <c r="T31" s="554">
        <f t="shared" si="79"/>
        <v>0</v>
      </c>
      <c r="U31" s="556">
        <f t="shared" si="64"/>
        <v>0</v>
      </c>
      <c r="V31" s="433">
        <f t="shared" si="65"/>
        <v>0</v>
      </c>
      <c r="W31" s="11"/>
      <c r="X31" s="11">
        <f>D31</f>
        <v>0</v>
      </c>
      <c r="Y31" s="556">
        <f t="shared" si="66"/>
        <v>0</v>
      </c>
      <c r="Z31" s="11">
        <f t="shared" si="67"/>
        <v>0</v>
      </c>
      <c r="AA31" s="11"/>
      <c r="AB31" s="11"/>
      <c r="AC31" s="554">
        <f t="shared" si="68"/>
        <v>0</v>
      </c>
      <c r="AD31" s="433">
        <f t="shared" si="69"/>
        <v>0</v>
      </c>
      <c r="AE31" s="11">
        <f t="shared" si="70"/>
        <v>0</v>
      </c>
      <c r="AF31" s="11">
        <f t="shared" si="70"/>
        <v>0</v>
      </c>
      <c r="AG31" s="544">
        <f t="shared" si="71"/>
        <v>0</v>
      </c>
      <c r="AH31" s="11"/>
      <c r="AI31" s="1084"/>
      <c r="AJ31" s="850"/>
      <c r="AK31" s="850"/>
      <c r="AL31" s="557"/>
      <c r="AM31" s="557">
        <f t="shared" si="32"/>
        <v>0</v>
      </c>
      <c r="AN31" s="1233"/>
      <c r="AO31" s="17"/>
      <c r="AP31" s="17"/>
      <c r="AQ31" s="554">
        <f t="shared" si="80"/>
        <v>0</v>
      </c>
      <c r="AR31" s="545">
        <f t="shared" si="34"/>
        <v>0</v>
      </c>
      <c r="AS31" s="11">
        <f t="shared" si="72"/>
        <v>0</v>
      </c>
      <c r="AT31" s="11">
        <f t="shared" si="81"/>
        <v>0</v>
      </c>
      <c r="AU31" s="11">
        <f t="shared" si="81"/>
        <v>0</v>
      </c>
      <c r="AV31" s="545">
        <f t="shared" si="35"/>
        <v>0</v>
      </c>
      <c r="AW31" s="11">
        <f t="shared" si="73"/>
        <v>0</v>
      </c>
      <c r="AX31" s="11">
        <f t="shared" si="74"/>
        <v>0</v>
      </c>
      <c r="AY31" s="11">
        <f t="shared" si="74"/>
        <v>0</v>
      </c>
      <c r="AZ31" s="18">
        <f t="shared" si="82"/>
        <v>0</v>
      </c>
      <c r="BA31" s="18">
        <f t="shared" si="75"/>
        <v>0</v>
      </c>
      <c r="BB31" s="19">
        <f t="shared" si="83"/>
        <v>0</v>
      </c>
      <c r="BC31" s="544">
        <f t="shared" si="84"/>
        <v>0</v>
      </c>
      <c r="BD31" s="544"/>
      <c r="BE31" s="11"/>
      <c r="BF31" s="445"/>
      <c r="BG31" s="439"/>
      <c r="BH31" s="439"/>
      <c r="BI31" s="11"/>
    </row>
    <row r="32" spans="1:61">
      <c r="A32" s="11">
        <v>6</v>
      </c>
      <c r="B32" s="13" t="s">
        <v>74</v>
      </c>
      <c r="C32" s="17"/>
      <c r="D32" s="17"/>
      <c r="E32" s="11"/>
      <c r="F32" s="11"/>
      <c r="G32" s="555"/>
      <c r="H32" s="545">
        <f t="shared" si="76"/>
        <v>0</v>
      </c>
      <c r="I32" s="11">
        <f t="shared" si="62"/>
        <v>0</v>
      </c>
      <c r="J32" s="11"/>
      <c r="K32" s="11"/>
      <c r="L32" s="545">
        <f t="shared" si="63"/>
        <v>0</v>
      </c>
      <c r="M32" s="11">
        <f t="shared" si="77"/>
        <v>0</v>
      </c>
      <c r="N32" s="11"/>
      <c r="O32" s="861">
        <f t="shared" si="78"/>
        <v>0</v>
      </c>
      <c r="P32" s="17"/>
      <c r="Q32" s="17"/>
      <c r="R32" s="555"/>
      <c r="S32" s="555"/>
      <c r="T32" s="554">
        <f t="shared" si="79"/>
        <v>0</v>
      </c>
      <c r="U32" s="556">
        <f t="shared" si="64"/>
        <v>0</v>
      </c>
      <c r="V32" s="433">
        <f t="shared" si="65"/>
        <v>0</v>
      </c>
      <c r="W32" s="11"/>
      <c r="X32" s="11">
        <f>D32</f>
        <v>0</v>
      </c>
      <c r="Y32" s="556">
        <f t="shared" si="66"/>
        <v>0</v>
      </c>
      <c r="Z32" s="11">
        <f t="shared" si="67"/>
        <v>0</v>
      </c>
      <c r="AA32" s="11"/>
      <c r="AB32" s="11"/>
      <c r="AC32" s="554">
        <f t="shared" si="68"/>
        <v>0</v>
      </c>
      <c r="AD32" s="433">
        <f t="shared" si="69"/>
        <v>0</v>
      </c>
      <c r="AE32" s="11">
        <f t="shared" si="70"/>
        <v>0</v>
      </c>
      <c r="AF32" s="11">
        <f t="shared" si="70"/>
        <v>0</v>
      </c>
      <c r="AG32" s="544">
        <f t="shared" si="71"/>
        <v>0</v>
      </c>
      <c r="AH32" s="11"/>
      <c r="AI32" s="1084"/>
      <c r="AJ32" s="850"/>
      <c r="AK32" s="850"/>
      <c r="AL32" s="557"/>
      <c r="AM32" s="557">
        <f t="shared" si="32"/>
        <v>0</v>
      </c>
      <c r="AN32" s="1233"/>
      <c r="AO32" s="17"/>
      <c r="AP32" s="17"/>
      <c r="AQ32" s="554">
        <f t="shared" si="80"/>
        <v>0</v>
      </c>
      <c r="AR32" s="545">
        <f t="shared" si="34"/>
        <v>0</v>
      </c>
      <c r="AS32" s="11">
        <f t="shared" si="72"/>
        <v>0</v>
      </c>
      <c r="AT32" s="11">
        <f t="shared" si="81"/>
        <v>0</v>
      </c>
      <c r="AU32" s="11">
        <f t="shared" si="81"/>
        <v>0</v>
      </c>
      <c r="AV32" s="545">
        <f t="shared" si="35"/>
        <v>0</v>
      </c>
      <c r="AW32" s="11">
        <f t="shared" si="73"/>
        <v>0</v>
      </c>
      <c r="AX32" s="11">
        <f t="shared" si="74"/>
        <v>0</v>
      </c>
      <c r="AY32" s="11">
        <f t="shared" si="74"/>
        <v>0</v>
      </c>
      <c r="AZ32" s="18">
        <f t="shared" si="82"/>
        <v>0</v>
      </c>
      <c r="BA32" s="18">
        <f t="shared" si="75"/>
        <v>0</v>
      </c>
      <c r="BB32" s="19">
        <f t="shared" si="83"/>
        <v>0</v>
      </c>
      <c r="BC32" s="544">
        <f t="shared" si="84"/>
        <v>0</v>
      </c>
      <c r="BD32" s="544"/>
      <c r="BE32" s="11"/>
      <c r="BF32" s="445"/>
      <c r="BG32" s="439"/>
      <c r="BH32" s="439"/>
      <c r="BI32" s="11"/>
    </row>
    <row r="33" spans="1:61">
      <c r="A33" s="11">
        <v>7</v>
      </c>
      <c r="B33" s="1131" t="s">
        <v>814</v>
      </c>
      <c r="C33" s="17">
        <v>80.5</v>
      </c>
      <c r="D33" s="17"/>
      <c r="E33" s="11">
        <v>9392.2999999999993</v>
      </c>
      <c r="F33" s="11"/>
      <c r="G33" s="555">
        <v>9722.8799999999992</v>
      </c>
      <c r="H33" s="545">
        <f t="shared" si="76"/>
        <v>9392.2999999999993</v>
      </c>
      <c r="I33" s="11">
        <f t="shared" si="62"/>
        <v>9390</v>
      </c>
      <c r="J33" s="11"/>
      <c r="K33" s="11">
        <v>2.2999999999999998</v>
      </c>
      <c r="L33" s="545">
        <f t="shared" si="63"/>
        <v>0</v>
      </c>
      <c r="M33" s="11">
        <f t="shared" si="77"/>
        <v>0</v>
      </c>
      <c r="N33" s="11"/>
      <c r="O33" s="861">
        <f t="shared" si="78"/>
        <v>13.5</v>
      </c>
      <c r="P33" s="17">
        <v>94</v>
      </c>
      <c r="Q33" s="17"/>
      <c r="R33" s="555">
        <v>9722.8799999999992</v>
      </c>
      <c r="S33" s="555"/>
      <c r="T33" s="554">
        <f t="shared" si="79"/>
        <v>10967408.640000001</v>
      </c>
      <c r="U33" s="556">
        <f t="shared" si="64"/>
        <v>10967408.640000001</v>
      </c>
      <c r="V33" s="433">
        <f t="shared" si="65"/>
        <v>10967408.640000001</v>
      </c>
      <c r="W33" s="11"/>
      <c r="X33" s="11">
        <f>D33</f>
        <v>0</v>
      </c>
      <c r="Y33" s="556">
        <f t="shared" si="66"/>
        <v>0</v>
      </c>
      <c r="Z33" s="11">
        <f t="shared" si="67"/>
        <v>0</v>
      </c>
      <c r="AA33" s="11"/>
      <c r="AB33" s="11"/>
      <c r="AC33" s="554">
        <f t="shared" si="68"/>
        <v>10967408.640000001</v>
      </c>
      <c r="AD33" s="433">
        <f t="shared" si="69"/>
        <v>10967408.640000001</v>
      </c>
      <c r="AE33" s="11">
        <f t="shared" si="70"/>
        <v>0</v>
      </c>
      <c r="AF33" s="11">
        <f t="shared" si="70"/>
        <v>0</v>
      </c>
      <c r="AG33" s="544">
        <f t="shared" si="71"/>
        <v>14279566.050000001</v>
      </c>
      <c r="AH33" s="11"/>
      <c r="AI33" s="1084"/>
      <c r="AJ33" s="850"/>
      <c r="AK33" s="850"/>
      <c r="AL33" s="557">
        <v>9722.8799999999992</v>
      </c>
      <c r="AM33" s="557">
        <f t="shared" si="32"/>
        <v>0</v>
      </c>
      <c r="AN33" s="1233"/>
      <c r="AO33" s="17">
        <v>94</v>
      </c>
      <c r="AP33" s="17"/>
      <c r="AQ33" s="554">
        <f t="shared" si="80"/>
        <v>10967408.6</v>
      </c>
      <c r="AR33" s="545">
        <f t="shared" si="34"/>
        <v>10967408.6</v>
      </c>
      <c r="AS33" s="11">
        <f t="shared" si="72"/>
        <v>10967408.6</v>
      </c>
      <c r="AT33" s="11">
        <f t="shared" si="81"/>
        <v>0</v>
      </c>
      <c r="AU33" s="11">
        <f t="shared" si="81"/>
        <v>0</v>
      </c>
      <c r="AV33" s="545">
        <f t="shared" si="35"/>
        <v>0</v>
      </c>
      <c r="AW33" s="11">
        <f t="shared" si="73"/>
        <v>0</v>
      </c>
      <c r="AX33" s="11">
        <f t="shared" si="74"/>
        <v>0</v>
      </c>
      <c r="AY33" s="11">
        <f t="shared" si="74"/>
        <v>0</v>
      </c>
      <c r="AZ33" s="18">
        <f t="shared" si="82"/>
        <v>0</v>
      </c>
      <c r="BA33" s="18">
        <f t="shared" si="75"/>
        <v>0</v>
      </c>
      <c r="BB33" s="19">
        <f t="shared" si="83"/>
        <v>10967408.6</v>
      </c>
      <c r="BC33" s="544">
        <f t="shared" si="84"/>
        <v>14279566</v>
      </c>
      <c r="BD33" s="544"/>
      <c r="BE33" s="11"/>
      <c r="BF33" s="445"/>
      <c r="BG33" s="439"/>
      <c r="BH33" s="439"/>
      <c r="BI33" s="11"/>
    </row>
    <row r="34" spans="1:61">
      <c r="A34" s="11"/>
      <c r="B34" s="1132" t="s">
        <v>815</v>
      </c>
      <c r="C34" s="17"/>
      <c r="D34" s="17"/>
      <c r="E34" s="11"/>
      <c r="F34" s="11"/>
      <c r="G34" s="555"/>
      <c r="H34" s="545"/>
      <c r="I34" s="11"/>
      <c r="J34" s="11"/>
      <c r="K34" s="11"/>
      <c r="L34" s="545"/>
      <c r="M34" s="11"/>
      <c r="N34" s="11"/>
      <c r="O34" s="861"/>
      <c r="P34" s="1133"/>
      <c r="Q34" s="17"/>
      <c r="R34" s="555"/>
      <c r="S34" s="555"/>
      <c r="T34" s="554"/>
      <c r="U34" s="556"/>
      <c r="V34" s="433"/>
      <c r="W34" s="11"/>
      <c r="X34" s="11"/>
      <c r="Y34" s="556"/>
      <c r="Z34" s="11"/>
      <c r="AA34" s="11"/>
      <c r="AB34" s="11"/>
      <c r="AC34" s="554"/>
      <c r="AD34" s="433"/>
      <c r="AE34" s="11"/>
      <c r="AF34" s="11"/>
      <c r="AG34" s="544"/>
      <c r="AH34" s="11"/>
      <c r="AI34" s="1084"/>
      <c r="AJ34" s="850"/>
      <c r="AK34" s="1046"/>
      <c r="AL34" s="557"/>
      <c r="AM34" s="557"/>
      <c r="AN34" s="1233">
        <f>AO34-P34</f>
        <v>0</v>
      </c>
      <c r="AO34" s="17"/>
      <c r="AP34" s="17"/>
      <c r="AQ34" s="554"/>
      <c r="AR34" s="545"/>
      <c r="AS34" s="11"/>
      <c r="AT34" s="11"/>
      <c r="AU34" s="11"/>
      <c r="AV34" s="545"/>
      <c r="AW34" s="11"/>
      <c r="AX34" s="11"/>
      <c r="AY34" s="11"/>
      <c r="AZ34" s="18"/>
      <c r="BA34" s="18"/>
      <c r="BB34" s="19"/>
      <c r="BC34" s="544"/>
      <c r="BD34" s="544"/>
      <c r="BE34" s="1045"/>
      <c r="BF34" s="445"/>
      <c r="BG34" s="1130"/>
      <c r="BH34" s="1130"/>
      <c r="BI34" s="11"/>
    </row>
    <row r="35" spans="1:61" ht="19.149999999999999" customHeight="1">
      <c r="A35" s="545">
        <v>3</v>
      </c>
      <c r="B35" s="426" t="s">
        <v>85</v>
      </c>
      <c r="C35" s="545">
        <f>C36+C37+C38+C39+C40+C41+C42</f>
        <v>247.7</v>
      </c>
      <c r="D35" s="545">
        <f t="shared" ref="D35:AF35" si="85">D36+D37+D38+D39+D40+D41+D42</f>
        <v>14.799999999999999</v>
      </c>
      <c r="E35" s="545">
        <f t="shared" si="85"/>
        <v>58459.6</v>
      </c>
      <c r="F35" s="545">
        <f t="shared" si="85"/>
        <v>1983.7</v>
      </c>
      <c r="G35" s="558">
        <v>19667.47</v>
      </c>
      <c r="H35" s="545">
        <f t="shared" si="85"/>
        <v>58459.6</v>
      </c>
      <c r="I35" s="545">
        <f t="shared" si="85"/>
        <v>53304.4</v>
      </c>
      <c r="J35" s="545">
        <f t="shared" si="85"/>
        <v>0</v>
      </c>
      <c r="K35" s="545">
        <f t="shared" si="85"/>
        <v>5155.2</v>
      </c>
      <c r="L35" s="545">
        <f t="shared" si="85"/>
        <v>1983.7</v>
      </c>
      <c r="M35" s="545">
        <f t="shared" si="85"/>
        <v>1945.9</v>
      </c>
      <c r="N35" s="545">
        <f t="shared" si="85"/>
        <v>15.3</v>
      </c>
      <c r="O35" s="559">
        <f t="shared" si="85"/>
        <v>37.799999999999997</v>
      </c>
      <c r="P35" s="560">
        <f t="shared" si="85"/>
        <v>263</v>
      </c>
      <c r="Q35" s="545">
        <f t="shared" si="85"/>
        <v>21</v>
      </c>
      <c r="R35" s="558">
        <v>19687</v>
      </c>
      <c r="S35" s="558">
        <v>11461.25</v>
      </c>
      <c r="T35" s="561">
        <f>SUM(T36:T42)</f>
        <v>63724053.170000002</v>
      </c>
      <c r="U35" s="545">
        <f t="shared" ref="U35:AB35" si="86">U36+U37+U38+U39+U40+U41+U42</f>
        <v>60999906.240000002</v>
      </c>
      <c r="V35" s="545">
        <f t="shared" si="86"/>
        <v>57415606.240000002</v>
      </c>
      <c r="W35" s="545">
        <f t="shared" si="86"/>
        <v>0</v>
      </c>
      <c r="X35" s="545">
        <f t="shared" si="86"/>
        <v>3584300</v>
      </c>
      <c r="Y35" s="545">
        <f t="shared" si="86"/>
        <v>2724146.93</v>
      </c>
      <c r="Z35" s="545">
        <f t="shared" si="86"/>
        <v>2671746.9300000002</v>
      </c>
      <c r="AA35" s="545">
        <f t="shared" si="86"/>
        <v>0</v>
      </c>
      <c r="AB35" s="545">
        <f t="shared" si="86"/>
        <v>52400</v>
      </c>
      <c r="AC35" s="558">
        <f>AC36+AC37+AC38+AC39+AC40+AC41+AC42</f>
        <v>63724053.170000002</v>
      </c>
      <c r="AD35" s="545">
        <f t="shared" si="85"/>
        <v>60087353.170000002</v>
      </c>
      <c r="AE35" s="545">
        <f t="shared" si="85"/>
        <v>0</v>
      </c>
      <c r="AF35" s="545">
        <f t="shared" si="85"/>
        <v>3636700</v>
      </c>
      <c r="AG35" s="545">
        <f>AG36+AG37+AG38+AG39+AG40+AG41+AG42</f>
        <v>78233733.829999998</v>
      </c>
      <c r="AH35" s="558">
        <v>2322500</v>
      </c>
      <c r="AI35" s="863">
        <v>80407081.379999995</v>
      </c>
      <c r="AJ35" s="765">
        <f>AH35+AG35</f>
        <v>80556233.829999998</v>
      </c>
      <c r="AK35" s="1087">
        <f>AJ35-AI35</f>
        <v>149152.45000000298</v>
      </c>
      <c r="AL35" s="563">
        <v>19667.47</v>
      </c>
      <c r="AM35" s="563">
        <f t="shared" si="32"/>
        <v>11461.25</v>
      </c>
      <c r="AN35" s="545">
        <f>AN36+AN37+AN38+AN39+AN40+AN41+AN42</f>
        <v>18</v>
      </c>
      <c r="AO35" s="545">
        <f>AO36+AO37+AO38+AO39+AO40+AO41+AO42</f>
        <v>281</v>
      </c>
      <c r="AP35" s="545">
        <f t="shared" ref="AP35:BC35" si="87">AP36+AP37+AP38+AP39+AP40+AP41+AP42</f>
        <v>23.5</v>
      </c>
      <c r="AQ35" s="561">
        <f>SUM(AQ36:AQ42)</f>
        <v>67280517.980000004</v>
      </c>
      <c r="AR35" s="545">
        <f t="shared" si="34"/>
        <v>66318708.799999997</v>
      </c>
      <c r="AS35" s="545">
        <f t="shared" si="87"/>
        <v>60720030.900000006</v>
      </c>
      <c r="AT35" s="545">
        <f t="shared" si="87"/>
        <v>0</v>
      </c>
      <c r="AU35" s="545">
        <f>AU36+AU37+AU38+AU39+AU40+AU41+AU42</f>
        <v>3584300</v>
      </c>
      <c r="AV35" s="545">
        <f>ROUND(AM35*AP35*12,2)</f>
        <v>3232072.5</v>
      </c>
      <c r="AW35" s="545">
        <f>AW36+AW37+AW38+AW39+AW40+AW41+AW42</f>
        <v>2923787.08</v>
      </c>
      <c r="AX35" s="545">
        <f t="shared" si="87"/>
        <v>0</v>
      </c>
      <c r="AY35" s="545">
        <f t="shared" si="87"/>
        <v>52400</v>
      </c>
      <c r="AZ35" s="545">
        <f t="shared" si="87"/>
        <v>0</v>
      </c>
      <c r="BA35" s="545">
        <f t="shared" si="87"/>
        <v>3636700</v>
      </c>
      <c r="BB35" s="545">
        <f t="shared" si="87"/>
        <v>63643817.980000004</v>
      </c>
      <c r="BC35" s="545">
        <f t="shared" si="87"/>
        <v>82864251</v>
      </c>
      <c r="BD35" s="558">
        <v>2355825</v>
      </c>
      <c r="BE35" s="564">
        <f>BD35+BC35</f>
        <v>85220076</v>
      </c>
      <c r="BF35" s="562">
        <v>80407081.379999995</v>
      </c>
      <c r="BG35" s="865">
        <f>BE35-BF35</f>
        <v>4812994.6200000048</v>
      </c>
      <c r="BH35" s="875">
        <f>AG35+AH35</f>
        <v>80556233.829999998</v>
      </c>
      <c r="BI35" s="876">
        <f>BH35-AI35</f>
        <v>149152.45000000298</v>
      </c>
    </row>
    <row r="36" spans="1:61">
      <c r="A36" s="11">
        <v>1</v>
      </c>
      <c r="B36" s="13" t="s">
        <v>71</v>
      </c>
      <c r="C36" s="17">
        <v>4</v>
      </c>
      <c r="D36" s="17"/>
      <c r="E36" s="11">
        <v>2183.6</v>
      </c>
      <c r="F36" s="11"/>
      <c r="G36" s="555">
        <v>45491.67</v>
      </c>
      <c r="H36" s="545">
        <f>I36+J36+K36</f>
        <v>2183.6</v>
      </c>
      <c r="I36" s="11">
        <f t="shared" ref="I36:I42" si="88">E36-K36-J36</f>
        <v>2046.6</v>
      </c>
      <c r="J36" s="11"/>
      <c r="K36" s="11">
        <v>137</v>
      </c>
      <c r="L36" s="545">
        <f>M36+O36</f>
        <v>0</v>
      </c>
      <c r="M36" s="11">
        <f>F36-O36</f>
        <v>0</v>
      </c>
      <c r="N36" s="862">
        <f>P36-C36</f>
        <v>0</v>
      </c>
      <c r="O36" s="439"/>
      <c r="P36" s="444">
        <v>4</v>
      </c>
      <c r="Q36" s="17"/>
      <c r="R36" s="555">
        <v>44147.9</v>
      </c>
      <c r="S36" s="555"/>
      <c r="T36" s="554">
        <f>U36+Y36</f>
        <v>2119099.2000000002</v>
      </c>
      <c r="U36" s="556">
        <f t="shared" ref="U36:U42" si="89">ROUND(R36*P36*12,2)</f>
        <v>2119099.2000000002</v>
      </c>
      <c r="V36" s="433">
        <f>U36-W36-X36</f>
        <v>2014799.2000000002</v>
      </c>
      <c r="W36" s="11"/>
      <c r="X36" s="11">
        <v>104300</v>
      </c>
      <c r="Y36" s="556">
        <f t="shared" ref="Y36:Y42" si="90">ROUND(S36*Q36*12,2)</f>
        <v>0</v>
      </c>
      <c r="Z36" s="11">
        <f t="shared" ref="Z36:Z42" si="91">Y36-AA36-AB36</f>
        <v>0</v>
      </c>
      <c r="AA36" s="11"/>
      <c r="AB36" s="11"/>
      <c r="AC36" s="554">
        <f t="shared" ref="AC36:AC42" si="92">AD36+AE36+AF36</f>
        <v>2119099.2000000002</v>
      </c>
      <c r="AD36" s="433">
        <f t="shared" ref="AD36:AD42" si="93">ROUND((Z36+V36),2)</f>
        <v>2014799.2</v>
      </c>
      <c r="AE36" s="11">
        <f t="shared" ref="AE36:AF42" si="94">AA36+W36</f>
        <v>0</v>
      </c>
      <c r="AF36" s="11">
        <f t="shared" si="94"/>
        <v>104300</v>
      </c>
      <c r="AG36" s="544">
        <f t="shared" ref="AG36:AG42" si="95">ROUND(AD36*1.302,2)</f>
        <v>2623268.56</v>
      </c>
      <c r="AH36" s="877">
        <v>2322500</v>
      </c>
      <c r="AI36" s="1084"/>
      <c r="AJ36" s="850"/>
      <c r="AK36" s="850"/>
      <c r="AL36" s="557">
        <v>44147.9</v>
      </c>
      <c r="AM36" s="557">
        <f t="shared" si="32"/>
        <v>0</v>
      </c>
      <c r="AN36" s="1233"/>
      <c r="AO36" s="17">
        <v>4</v>
      </c>
      <c r="AP36" s="17"/>
      <c r="AQ36" s="554">
        <f>AR36+AV36</f>
        <v>2119099.2000000002</v>
      </c>
      <c r="AR36" s="545">
        <f t="shared" si="34"/>
        <v>2119099.2000000002</v>
      </c>
      <c r="AS36" s="11">
        <f t="shared" ref="AS36:AS42" si="96">AR36-AT36-AU36</f>
        <v>2014799.2000000002</v>
      </c>
      <c r="AT36" s="11">
        <f>W36</f>
        <v>0</v>
      </c>
      <c r="AU36" s="11">
        <f t="shared" ref="AU36:AU42" si="97">X36</f>
        <v>104300</v>
      </c>
      <c r="AV36" s="545">
        <f t="shared" ref="AV36:AV51" si="98">ROUND(AM36*AP36*12,2)</f>
        <v>0</v>
      </c>
      <c r="AW36" s="11">
        <f t="shared" ref="AW36:AW42" si="99">AV36-AX36-AY36</f>
        <v>0</v>
      </c>
      <c r="AX36" s="11">
        <f t="shared" ref="AX36:AY42" si="100">AA36</f>
        <v>0</v>
      </c>
      <c r="AY36" s="11">
        <f t="shared" si="100"/>
        <v>0</v>
      </c>
      <c r="AZ36" s="18">
        <f>AX36+AT36</f>
        <v>0</v>
      </c>
      <c r="BA36" s="18">
        <f t="shared" ref="BA36:BA42" si="101">AY36+AU36</f>
        <v>104300</v>
      </c>
      <c r="BB36" s="19">
        <f>AW36+AS36</f>
        <v>2014799.2000000002</v>
      </c>
      <c r="BC36" s="544">
        <f>ROUND(BB36*1.302,1)</f>
        <v>2623268.6</v>
      </c>
      <c r="BD36" s="544"/>
      <c r="BE36" s="11"/>
      <c r="BF36" s="445"/>
      <c r="BG36" s="439"/>
      <c r="BH36" s="439"/>
      <c r="BI36" s="11"/>
    </row>
    <row r="37" spans="1:61">
      <c r="A37" s="11">
        <v>2</v>
      </c>
      <c r="B37" s="13" t="s">
        <v>72</v>
      </c>
      <c r="C37" s="17">
        <v>15.2</v>
      </c>
      <c r="D37" s="17"/>
      <c r="E37" s="11">
        <v>5952.5</v>
      </c>
      <c r="F37" s="11"/>
      <c r="G37" s="555">
        <v>32634.32</v>
      </c>
      <c r="H37" s="545">
        <f t="shared" ref="H37:H42" si="102">I37+J37+K37</f>
        <v>5952.5</v>
      </c>
      <c r="I37" s="11">
        <f t="shared" si="88"/>
        <v>5410</v>
      </c>
      <c r="J37" s="11"/>
      <c r="K37" s="11">
        <v>542.5</v>
      </c>
      <c r="L37" s="545">
        <f t="shared" ref="L37:L42" si="103">M37+O37</f>
        <v>0</v>
      </c>
      <c r="M37" s="11">
        <f t="shared" ref="M37:M42" si="104">F37-O37</f>
        <v>0</v>
      </c>
      <c r="N37" s="862">
        <f t="shared" ref="N37:N42" si="105">P37-C37</f>
        <v>2.8000000000000007</v>
      </c>
      <c r="O37" s="439"/>
      <c r="P37" s="444">
        <v>18</v>
      </c>
      <c r="Q37" s="17"/>
      <c r="R37" s="555">
        <v>31321.3</v>
      </c>
      <c r="S37" s="555"/>
      <c r="T37" s="554">
        <f t="shared" ref="T37:T42" si="106">U37+Y37</f>
        <v>6765400.7999999998</v>
      </c>
      <c r="U37" s="556">
        <f t="shared" si="89"/>
        <v>6765400.7999999998</v>
      </c>
      <c r="V37" s="433">
        <f t="shared" ref="V37:V42" si="107">U37-W37-X37</f>
        <v>6358000.7999999998</v>
      </c>
      <c r="W37" s="11"/>
      <c r="X37" s="11">
        <v>407400</v>
      </c>
      <c r="Y37" s="556">
        <f t="shared" si="90"/>
        <v>0</v>
      </c>
      <c r="Z37" s="11">
        <f t="shared" si="91"/>
        <v>0</v>
      </c>
      <c r="AA37" s="11"/>
      <c r="AB37" s="11"/>
      <c r="AC37" s="554">
        <f t="shared" si="92"/>
        <v>6765400.7999999998</v>
      </c>
      <c r="AD37" s="433">
        <f>ROUND((Z37+V37),2)</f>
        <v>6358000.7999999998</v>
      </c>
      <c r="AE37" s="11">
        <f t="shared" si="94"/>
        <v>0</v>
      </c>
      <c r="AF37" s="11">
        <f t="shared" si="94"/>
        <v>407400</v>
      </c>
      <c r="AG37" s="544">
        <f t="shared" si="95"/>
        <v>8278117.04</v>
      </c>
      <c r="AH37" s="433"/>
      <c r="AI37" s="1084"/>
      <c r="AJ37" s="850"/>
      <c r="AK37" s="850"/>
      <c r="AL37" s="557">
        <v>31321.3</v>
      </c>
      <c r="AM37" s="557">
        <f>S37</f>
        <v>0</v>
      </c>
      <c r="AN37" s="1233">
        <f>AO37-P37</f>
        <v>1</v>
      </c>
      <c r="AO37" s="17">
        <v>19</v>
      </c>
      <c r="AP37" s="17"/>
      <c r="AQ37" s="554">
        <f t="shared" ref="AQ37:AQ42" si="108">AR37+AV37</f>
        <v>7141256.4000000004</v>
      </c>
      <c r="AR37" s="545">
        <f t="shared" si="34"/>
        <v>7141256.4000000004</v>
      </c>
      <c r="AS37" s="11">
        <f t="shared" si="96"/>
        <v>6733856.4000000004</v>
      </c>
      <c r="AT37" s="11">
        <f t="shared" ref="AT37:AT42" si="109">W37</f>
        <v>0</v>
      </c>
      <c r="AU37" s="11">
        <f t="shared" si="97"/>
        <v>407400</v>
      </c>
      <c r="AV37" s="545">
        <f t="shared" si="98"/>
        <v>0</v>
      </c>
      <c r="AW37" s="11">
        <f t="shared" si="99"/>
        <v>0</v>
      </c>
      <c r="AX37" s="11">
        <f t="shared" si="100"/>
        <v>0</v>
      </c>
      <c r="AY37" s="11">
        <f t="shared" si="100"/>
        <v>0</v>
      </c>
      <c r="AZ37" s="18">
        <f t="shared" ref="AZ37:AZ42" si="110">AX37+AT37</f>
        <v>0</v>
      </c>
      <c r="BA37" s="18">
        <f t="shared" si="101"/>
        <v>407400</v>
      </c>
      <c r="BB37" s="19">
        <f t="shared" ref="BB37:BB42" si="111">AW37+AS37</f>
        <v>6733856.4000000004</v>
      </c>
      <c r="BC37" s="544">
        <f t="shared" ref="BC37:BC42" si="112">ROUND(BB37*1.302,1)</f>
        <v>8767481</v>
      </c>
      <c r="BD37" s="544"/>
      <c r="BE37" s="11"/>
      <c r="BF37" s="445"/>
      <c r="BG37" s="439"/>
      <c r="BH37" s="439"/>
      <c r="BI37" s="11"/>
    </row>
    <row r="38" spans="1:61">
      <c r="A38" s="11">
        <v>3</v>
      </c>
      <c r="B38" s="14" t="s">
        <v>76</v>
      </c>
      <c r="C38" s="17">
        <v>122</v>
      </c>
      <c r="D38" s="17">
        <v>5.6</v>
      </c>
      <c r="E38" s="11">
        <v>35961.199999999997</v>
      </c>
      <c r="F38" s="11">
        <v>850.8</v>
      </c>
      <c r="G38" s="29">
        <v>24563.66</v>
      </c>
      <c r="H38" s="545">
        <f t="shared" si="102"/>
        <v>35961.199999999997</v>
      </c>
      <c r="I38" s="11">
        <f t="shared" si="88"/>
        <v>31833.499999999996</v>
      </c>
      <c r="J38" s="11"/>
      <c r="K38" s="11">
        <v>4127.7</v>
      </c>
      <c r="L38" s="545">
        <f t="shared" si="103"/>
        <v>850.8</v>
      </c>
      <c r="M38" s="11">
        <f t="shared" si="104"/>
        <v>813</v>
      </c>
      <c r="N38" s="862">
        <f t="shared" si="105"/>
        <v>-4</v>
      </c>
      <c r="O38" s="439">
        <v>37.799999999999997</v>
      </c>
      <c r="P38" s="444">
        <v>118</v>
      </c>
      <c r="Q38" s="17">
        <v>4.8</v>
      </c>
      <c r="R38" s="29">
        <v>24563.66</v>
      </c>
      <c r="S38" s="555">
        <f>ROUND(F38/D38/12*1000,2)</f>
        <v>12660.71</v>
      </c>
      <c r="T38" s="554">
        <f t="shared" si="106"/>
        <v>35511399.460000001</v>
      </c>
      <c r="U38" s="556">
        <f t="shared" si="89"/>
        <v>34782142.560000002</v>
      </c>
      <c r="V38" s="433">
        <f t="shared" si="107"/>
        <v>32065142.560000002</v>
      </c>
      <c r="W38" s="11"/>
      <c r="X38" s="11">
        <v>2717000</v>
      </c>
      <c r="Y38" s="556">
        <f t="shared" si="90"/>
        <v>729256.9</v>
      </c>
      <c r="Z38" s="11">
        <f t="shared" si="91"/>
        <v>697456.9</v>
      </c>
      <c r="AA38" s="11"/>
      <c r="AB38" s="11">
        <v>31800</v>
      </c>
      <c r="AC38" s="554">
        <f t="shared" si="92"/>
        <v>35511399.460000001</v>
      </c>
      <c r="AD38" s="433">
        <f>ROUND((Z38+V38),2)</f>
        <v>32762599.460000001</v>
      </c>
      <c r="AE38" s="11">
        <f t="shared" si="94"/>
        <v>0</v>
      </c>
      <c r="AF38" s="11">
        <f t="shared" si="94"/>
        <v>2748800</v>
      </c>
      <c r="AG38" s="544">
        <f t="shared" si="95"/>
        <v>42656904.5</v>
      </c>
      <c r="AH38" s="11"/>
      <c r="AI38" s="1084"/>
      <c r="AJ38" s="850"/>
      <c r="AK38" s="850"/>
      <c r="AL38" s="440">
        <v>24563.66</v>
      </c>
      <c r="AM38" s="557">
        <f t="shared" si="32"/>
        <v>12660.71</v>
      </c>
      <c r="AN38" s="1233">
        <f>AO38-P38</f>
        <v>1</v>
      </c>
      <c r="AO38" s="17">
        <v>119</v>
      </c>
      <c r="AP38" s="17">
        <v>5</v>
      </c>
      <c r="AQ38" s="554">
        <f t="shared" si="108"/>
        <v>35836549.100000001</v>
      </c>
      <c r="AR38" s="545">
        <f t="shared" si="34"/>
        <v>35076906.5</v>
      </c>
      <c r="AS38" s="11">
        <f t="shared" si="96"/>
        <v>32359906.5</v>
      </c>
      <c r="AT38" s="11">
        <f t="shared" si="109"/>
        <v>0</v>
      </c>
      <c r="AU38" s="11">
        <f>X38</f>
        <v>2717000</v>
      </c>
      <c r="AV38" s="545">
        <f>ROUND(AM38*AP38*12,2)</f>
        <v>759642.6</v>
      </c>
      <c r="AW38" s="11">
        <f>AV38-AX38-AY38</f>
        <v>727842.6</v>
      </c>
      <c r="AX38" s="11">
        <f t="shared" si="100"/>
        <v>0</v>
      </c>
      <c r="AY38" s="11">
        <f>AB38</f>
        <v>31800</v>
      </c>
      <c r="AZ38" s="18">
        <f t="shared" si="110"/>
        <v>0</v>
      </c>
      <c r="BA38" s="18">
        <f t="shared" si="101"/>
        <v>2748800</v>
      </c>
      <c r="BB38" s="19">
        <f t="shared" si="111"/>
        <v>33087749.100000001</v>
      </c>
      <c r="BC38" s="544">
        <f t="shared" si="112"/>
        <v>43080249.299999997</v>
      </c>
      <c r="BD38" s="544"/>
      <c r="BE38" s="11"/>
      <c r="BF38" s="445"/>
      <c r="BG38" s="439"/>
      <c r="BH38" s="439"/>
      <c r="BI38" s="11"/>
    </row>
    <row r="39" spans="1:61">
      <c r="A39" s="11">
        <v>4</v>
      </c>
      <c r="B39" s="14" t="s">
        <v>77</v>
      </c>
      <c r="C39" s="17">
        <v>10</v>
      </c>
      <c r="D39" s="17"/>
      <c r="E39" s="11">
        <v>2210.8000000000002</v>
      </c>
      <c r="F39" s="11"/>
      <c r="G39" s="432">
        <v>18423.330000000002</v>
      </c>
      <c r="H39" s="545">
        <f t="shared" si="102"/>
        <v>2210.8000000000002</v>
      </c>
      <c r="I39" s="11">
        <f t="shared" si="88"/>
        <v>1942.9</v>
      </c>
      <c r="J39" s="11"/>
      <c r="K39" s="11">
        <v>267.89999999999998</v>
      </c>
      <c r="L39" s="545">
        <f t="shared" si="103"/>
        <v>0</v>
      </c>
      <c r="M39" s="11">
        <f t="shared" si="104"/>
        <v>0</v>
      </c>
      <c r="N39" s="862">
        <f t="shared" si="105"/>
        <v>6</v>
      </c>
      <c r="O39" s="439"/>
      <c r="P39" s="444">
        <v>16</v>
      </c>
      <c r="Q39" s="17"/>
      <c r="R39" s="894">
        <f>21300-1198</f>
        <v>20102</v>
      </c>
      <c r="S39" s="555"/>
      <c r="T39" s="554">
        <f t="shared" si="106"/>
        <v>3859584</v>
      </c>
      <c r="U39" s="556">
        <f t="shared" si="89"/>
        <v>3859584</v>
      </c>
      <c r="V39" s="433">
        <f t="shared" si="107"/>
        <v>3503984</v>
      </c>
      <c r="W39" s="11"/>
      <c r="X39" s="11">
        <v>355600</v>
      </c>
      <c r="Y39" s="556">
        <f t="shared" si="90"/>
        <v>0</v>
      </c>
      <c r="Z39" s="11">
        <f t="shared" si="91"/>
        <v>0</v>
      </c>
      <c r="AA39" s="11"/>
      <c r="AB39" s="11"/>
      <c r="AC39" s="554">
        <f t="shared" si="92"/>
        <v>3859584</v>
      </c>
      <c r="AD39" s="433">
        <f t="shared" si="93"/>
        <v>3503984</v>
      </c>
      <c r="AE39" s="11">
        <f t="shared" si="94"/>
        <v>0</v>
      </c>
      <c r="AF39" s="11">
        <f t="shared" si="94"/>
        <v>355600</v>
      </c>
      <c r="AG39" s="544">
        <f t="shared" si="95"/>
        <v>4562187.17</v>
      </c>
      <c r="AH39" s="11"/>
      <c r="AI39" s="1084"/>
      <c r="AJ39" s="850"/>
      <c r="AK39" s="850"/>
      <c r="AL39" s="441">
        <v>21300</v>
      </c>
      <c r="AM39" s="557">
        <f t="shared" si="32"/>
        <v>0</v>
      </c>
      <c r="AN39" s="1233">
        <f>AO39-P39</f>
        <v>3</v>
      </c>
      <c r="AO39" s="17">
        <v>19</v>
      </c>
      <c r="AP39" s="17">
        <v>0.5</v>
      </c>
      <c r="AQ39" s="554">
        <f t="shared" si="108"/>
        <v>4856400</v>
      </c>
      <c r="AR39" s="545">
        <f t="shared" si="34"/>
        <v>4856400</v>
      </c>
      <c r="AS39" s="11">
        <f t="shared" si="96"/>
        <v>4500800</v>
      </c>
      <c r="AT39" s="11">
        <f t="shared" si="109"/>
        <v>0</v>
      </c>
      <c r="AU39" s="11">
        <f t="shared" si="97"/>
        <v>355600</v>
      </c>
      <c r="AV39" s="545">
        <f t="shared" si="98"/>
        <v>0</v>
      </c>
      <c r="AW39" s="11">
        <f t="shared" si="99"/>
        <v>0</v>
      </c>
      <c r="AX39" s="11">
        <f t="shared" si="100"/>
        <v>0</v>
      </c>
      <c r="AY39" s="11">
        <f t="shared" si="100"/>
        <v>0</v>
      </c>
      <c r="AZ39" s="18">
        <f t="shared" si="110"/>
        <v>0</v>
      </c>
      <c r="BA39" s="18">
        <f t="shared" si="101"/>
        <v>355600</v>
      </c>
      <c r="BB39" s="19">
        <f t="shared" si="111"/>
        <v>4500800</v>
      </c>
      <c r="BC39" s="544">
        <f t="shared" si="112"/>
        <v>5860041.5999999996</v>
      </c>
      <c r="BD39" s="544"/>
      <c r="BE39" s="11"/>
      <c r="BF39" s="445"/>
      <c r="BG39" s="439"/>
      <c r="BH39" s="439"/>
      <c r="BI39" s="11"/>
    </row>
    <row r="40" spans="1:61">
      <c r="A40" s="11">
        <v>5</v>
      </c>
      <c r="B40" s="13" t="s">
        <v>73</v>
      </c>
      <c r="C40" s="17"/>
      <c r="D40" s="17"/>
      <c r="E40" s="11"/>
      <c r="F40" s="11"/>
      <c r="G40" s="555"/>
      <c r="H40" s="545">
        <f t="shared" si="102"/>
        <v>0</v>
      </c>
      <c r="I40" s="11">
        <f t="shared" si="88"/>
        <v>0</v>
      </c>
      <c r="J40" s="11"/>
      <c r="K40" s="11"/>
      <c r="L40" s="545">
        <f t="shared" si="103"/>
        <v>0</v>
      </c>
      <c r="M40" s="11">
        <f t="shared" si="104"/>
        <v>0</v>
      </c>
      <c r="N40" s="862">
        <f t="shared" si="105"/>
        <v>0</v>
      </c>
      <c r="O40" s="439"/>
      <c r="P40" s="444"/>
      <c r="Q40" s="17"/>
      <c r="R40" s="555"/>
      <c r="S40" s="555"/>
      <c r="T40" s="554">
        <f t="shared" si="106"/>
        <v>0</v>
      </c>
      <c r="U40" s="556">
        <f t="shared" si="89"/>
        <v>0</v>
      </c>
      <c r="V40" s="433">
        <f t="shared" si="107"/>
        <v>0</v>
      </c>
      <c r="W40" s="11"/>
      <c r="X40" s="11"/>
      <c r="Y40" s="556">
        <f t="shared" si="90"/>
        <v>0</v>
      </c>
      <c r="Z40" s="11">
        <f t="shared" si="91"/>
        <v>0</v>
      </c>
      <c r="AA40" s="11"/>
      <c r="AB40" s="11"/>
      <c r="AC40" s="554">
        <f t="shared" si="92"/>
        <v>0</v>
      </c>
      <c r="AD40" s="433">
        <f t="shared" si="93"/>
        <v>0</v>
      </c>
      <c r="AE40" s="11">
        <f t="shared" si="94"/>
        <v>0</v>
      </c>
      <c r="AF40" s="11">
        <f t="shared" si="94"/>
        <v>0</v>
      </c>
      <c r="AG40" s="544">
        <f t="shared" si="95"/>
        <v>0</v>
      </c>
      <c r="AH40" s="11"/>
      <c r="AI40" s="1084"/>
      <c r="AJ40" s="850"/>
      <c r="AK40" s="850"/>
      <c r="AL40" s="557"/>
      <c r="AM40" s="557">
        <f t="shared" si="32"/>
        <v>0</v>
      </c>
      <c r="AN40" s="1233"/>
      <c r="AO40" s="17"/>
      <c r="AP40" s="17"/>
      <c r="AQ40" s="554">
        <f t="shared" si="108"/>
        <v>0</v>
      </c>
      <c r="AR40" s="545">
        <f t="shared" si="34"/>
        <v>0</v>
      </c>
      <c r="AS40" s="11">
        <f t="shared" si="96"/>
        <v>0</v>
      </c>
      <c r="AT40" s="11">
        <f t="shared" si="109"/>
        <v>0</v>
      </c>
      <c r="AU40" s="11">
        <f t="shared" si="97"/>
        <v>0</v>
      </c>
      <c r="AV40" s="545">
        <f t="shared" si="98"/>
        <v>0</v>
      </c>
      <c r="AW40" s="11">
        <f t="shared" si="99"/>
        <v>0</v>
      </c>
      <c r="AX40" s="11">
        <f t="shared" si="100"/>
        <v>0</v>
      </c>
      <c r="AY40" s="11">
        <f t="shared" si="100"/>
        <v>0</v>
      </c>
      <c r="AZ40" s="18">
        <f t="shared" si="110"/>
        <v>0</v>
      </c>
      <c r="BA40" s="18">
        <f t="shared" si="101"/>
        <v>0</v>
      </c>
      <c r="BB40" s="19">
        <f t="shared" si="111"/>
        <v>0</v>
      </c>
      <c r="BC40" s="544">
        <f t="shared" si="112"/>
        <v>0</v>
      </c>
      <c r="BD40" s="544"/>
      <c r="BE40" s="11"/>
      <c r="BF40" s="445"/>
      <c r="BG40" s="439"/>
      <c r="BH40" s="439"/>
      <c r="BI40" s="11"/>
    </row>
    <row r="41" spans="1:61">
      <c r="A41" s="11">
        <v>6</v>
      </c>
      <c r="B41" s="13" t="s">
        <v>74</v>
      </c>
      <c r="C41" s="17"/>
      <c r="D41" s="17"/>
      <c r="E41" s="11"/>
      <c r="F41" s="11"/>
      <c r="G41" s="555"/>
      <c r="H41" s="545">
        <f t="shared" si="102"/>
        <v>0</v>
      </c>
      <c r="I41" s="11">
        <f t="shared" si="88"/>
        <v>0</v>
      </c>
      <c r="J41" s="11"/>
      <c r="K41" s="11"/>
      <c r="L41" s="545">
        <f t="shared" si="103"/>
        <v>0</v>
      </c>
      <c r="M41" s="11">
        <f t="shared" si="104"/>
        <v>0</v>
      </c>
      <c r="N41" s="862">
        <f t="shared" si="105"/>
        <v>0</v>
      </c>
      <c r="O41" s="439"/>
      <c r="P41" s="444"/>
      <c r="Q41" s="17"/>
      <c r="R41" s="555"/>
      <c r="S41" s="555"/>
      <c r="T41" s="554">
        <f t="shared" si="106"/>
        <v>0</v>
      </c>
      <c r="U41" s="556">
        <f t="shared" si="89"/>
        <v>0</v>
      </c>
      <c r="V41" s="433">
        <f t="shared" si="107"/>
        <v>0</v>
      </c>
      <c r="W41" s="11"/>
      <c r="X41" s="11"/>
      <c r="Y41" s="556">
        <f t="shared" si="90"/>
        <v>0</v>
      </c>
      <c r="Z41" s="11">
        <f t="shared" si="91"/>
        <v>0</v>
      </c>
      <c r="AA41" s="11"/>
      <c r="AB41" s="11"/>
      <c r="AC41" s="554">
        <f t="shared" si="92"/>
        <v>0</v>
      </c>
      <c r="AD41" s="433">
        <f t="shared" si="93"/>
        <v>0</v>
      </c>
      <c r="AE41" s="11">
        <f t="shared" si="94"/>
        <v>0</v>
      </c>
      <c r="AF41" s="11">
        <f t="shared" si="94"/>
        <v>0</v>
      </c>
      <c r="AG41" s="544">
        <f t="shared" si="95"/>
        <v>0</v>
      </c>
      <c r="AH41" s="11"/>
      <c r="AI41" s="1084"/>
      <c r="AJ41" s="850"/>
      <c r="AK41" s="850"/>
      <c r="AL41" s="557"/>
      <c r="AM41" s="557">
        <f t="shared" si="32"/>
        <v>0</v>
      </c>
      <c r="AN41" s="1233"/>
      <c r="AO41" s="17"/>
      <c r="AP41" s="17"/>
      <c r="AQ41" s="554">
        <f t="shared" si="108"/>
        <v>0</v>
      </c>
      <c r="AR41" s="545">
        <f t="shared" si="34"/>
        <v>0</v>
      </c>
      <c r="AS41" s="11">
        <f t="shared" si="96"/>
        <v>0</v>
      </c>
      <c r="AT41" s="11">
        <f t="shared" si="109"/>
        <v>0</v>
      </c>
      <c r="AU41" s="11">
        <f t="shared" si="97"/>
        <v>0</v>
      </c>
      <c r="AV41" s="545">
        <f t="shared" si="98"/>
        <v>0</v>
      </c>
      <c r="AW41" s="11">
        <f t="shared" si="99"/>
        <v>0</v>
      </c>
      <c r="AX41" s="11">
        <f t="shared" si="100"/>
        <v>0</v>
      </c>
      <c r="AY41" s="11">
        <f t="shared" si="100"/>
        <v>0</v>
      </c>
      <c r="AZ41" s="18">
        <f t="shared" si="110"/>
        <v>0</v>
      </c>
      <c r="BA41" s="18">
        <f t="shared" si="101"/>
        <v>0</v>
      </c>
      <c r="BB41" s="19">
        <f t="shared" si="111"/>
        <v>0</v>
      </c>
      <c r="BC41" s="544">
        <f t="shared" si="112"/>
        <v>0</v>
      </c>
      <c r="BD41" s="544"/>
      <c r="BE41" s="11"/>
      <c r="BF41" s="445"/>
      <c r="BG41" s="439"/>
      <c r="BH41" s="439"/>
      <c r="BI41" s="11"/>
    </row>
    <row r="42" spans="1:61">
      <c r="A42" s="11">
        <v>7</v>
      </c>
      <c r="B42" s="1131" t="s">
        <v>814</v>
      </c>
      <c r="C42" s="17">
        <v>96.5</v>
      </c>
      <c r="D42" s="17">
        <v>9.1999999999999993</v>
      </c>
      <c r="E42" s="11">
        <v>12151.5</v>
      </c>
      <c r="F42" s="11">
        <v>1132.9000000000001</v>
      </c>
      <c r="G42" s="555">
        <v>10493.52</v>
      </c>
      <c r="H42" s="545">
        <f t="shared" si="102"/>
        <v>12151.5</v>
      </c>
      <c r="I42" s="11">
        <f t="shared" si="88"/>
        <v>12071.4</v>
      </c>
      <c r="J42" s="11"/>
      <c r="K42" s="11">
        <v>80.099999999999994</v>
      </c>
      <c r="L42" s="545">
        <f t="shared" si="103"/>
        <v>1132.9000000000001</v>
      </c>
      <c r="M42" s="11">
        <f t="shared" si="104"/>
        <v>1132.9000000000001</v>
      </c>
      <c r="N42" s="862">
        <f t="shared" si="105"/>
        <v>10.5</v>
      </c>
      <c r="O42" s="439"/>
      <c r="P42" s="444">
        <v>107</v>
      </c>
      <c r="Q42" s="17">
        <v>16.2</v>
      </c>
      <c r="R42" s="555">
        <v>10493.52</v>
      </c>
      <c r="S42" s="555">
        <f>ROUND(F42/D42/12*1000,2)</f>
        <v>10261.780000000001</v>
      </c>
      <c r="T42" s="554">
        <f t="shared" si="106"/>
        <v>15468569.709999999</v>
      </c>
      <c r="U42" s="556">
        <f t="shared" si="89"/>
        <v>13473679.68</v>
      </c>
      <c r="V42" s="433">
        <f t="shared" si="107"/>
        <v>13473679.68</v>
      </c>
      <c r="W42" s="11"/>
      <c r="X42" s="11"/>
      <c r="Y42" s="556">
        <f t="shared" si="90"/>
        <v>1994890.03</v>
      </c>
      <c r="Z42" s="11">
        <f t="shared" si="91"/>
        <v>1974290.03</v>
      </c>
      <c r="AA42" s="11"/>
      <c r="AB42" s="11">
        <v>20600</v>
      </c>
      <c r="AC42" s="554">
        <f t="shared" si="92"/>
        <v>15468569.710000001</v>
      </c>
      <c r="AD42" s="433">
        <f t="shared" si="93"/>
        <v>15447969.710000001</v>
      </c>
      <c r="AE42" s="11">
        <f t="shared" si="94"/>
        <v>0</v>
      </c>
      <c r="AF42" s="11">
        <f t="shared" si="94"/>
        <v>20600</v>
      </c>
      <c r="AG42" s="544">
        <f t="shared" si="95"/>
        <v>20113256.559999999</v>
      </c>
      <c r="AH42" s="11"/>
      <c r="AI42" s="1084"/>
      <c r="AJ42" s="850"/>
      <c r="AK42" s="850"/>
      <c r="AL42" s="557">
        <v>10493.52</v>
      </c>
      <c r="AM42" s="557">
        <f t="shared" si="32"/>
        <v>10261.780000000001</v>
      </c>
      <c r="AN42" s="1233">
        <f>AO42-P42</f>
        <v>13</v>
      </c>
      <c r="AO42" s="17">
        <v>120</v>
      </c>
      <c r="AP42" s="17">
        <v>18</v>
      </c>
      <c r="AQ42" s="554">
        <f t="shared" si="108"/>
        <v>17327213.280000001</v>
      </c>
      <c r="AR42" s="545">
        <f t="shared" si="34"/>
        <v>15110668.800000001</v>
      </c>
      <c r="AS42" s="11">
        <f t="shared" si="96"/>
        <v>15110668.800000001</v>
      </c>
      <c r="AT42" s="11">
        <f t="shared" si="109"/>
        <v>0</v>
      </c>
      <c r="AU42" s="11">
        <f t="shared" si="97"/>
        <v>0</v>
      </c>
      <c r="AV42" s="545">
        <f t="shared" si="98"/>
        <v>2216544.48</v>
      </c>
      <c r="AW42" s="11">
        <f t="shared" si="99"/>
        <v>2195944.48</v>
      </c>
      <c r="AX42" s="11">
        <f t="shared" si="100"/>
        <v>0</v>
      </c>
      <c r="AY42" s="11">
        <f t="shared" si="100"/>
        <v>20600</v>
      </c>
      <c r="AZ42" s="18">
        <f t="shared" si="110"/>
        <v>0</v>
      </c>
      <c r="BA42" s="18">
        <f t="shared" si="101"/>
        <v>20600</v>
      </c>
      <c r="BB42" s="19">
        <f t="shared" si="111"/>
        <v>17306613.280000001</v>
      </c>
      <c r="BC42" s="544">
        <f t="shared" si="112"/>
        <v>22533210.5</v>
      </c>
      <c r="BD42" s="544"/>
      <c r="BE42" s="11"/>
      <c r="BF42" s="445"/>
      <c r="BG42" s="439"/>
      <c r="BH42" s="439"/>
      <c r="BI42" s="11"/>
    </row>
    <row r="43" spans="1:61">
      <c r="A43" s="11"/>
      <c r="B43" s="1132" t="s">
        <v>815</v>
      </c>
      <c r="C43" s="17"/>
      <c r="D43" s="17"/>
      <c r="E43" s="11"/>
      <c r="F43" s="11"/>
      <c r="G43" s="555"/>
      <c r="H43" s="545"/>
      <c r="I43" s="11"/>
      <c r="J43" s="11"/>
      <c r="K43" s="11"/>
      <c r="L43" s="545"/>
      <c r="M43" s="11"/>
      <c r="N43" s="862"/>
      <c r="O43" s="439"/>
      <c r="P43" s="444"/>
      <c r="Q43" s="17"/>
      <c r="R43" s="555"/>
      <c r="S43" s="555"/>
      <c r="T43" s="554"/>
      <c r="U43" s="556"/>
      <c r="V43" s="433"/>
      <c r="W43" s="11"/>
      <c r="X43" s="11"/>
      <c r="Y43" s="556"/>
      <c r="Z43" s="11"/>
      <c r="AA43" s="11"/>
      <c r="AB43" s="11"/>
      <c r="AC43" s="554"/>
      <c r="AD43" s="433"/>
      <c r="AE43" s="11"/>
      <c r="AF43" s="11"/>
      <c r="AG43" s="544"/>
      <c r="AH43" s="11"/>
      <c r="AI43" s="1084"/>
      <c r="AJ43" s="850"/>
      <c r="AK43" s="1046"/>
      <c r="AL43" s="557"/>
      <c r="AM43" s="557"/>
      <c r="AN43" s="1233"/>
      <c r="AO43" s="17"/>
      <c r="AP43" s="17"/>
      <c r="AQ43" s="554"/>
      <c r="AR43" s="545"/>
      <c r="AS43" s="11"/>
      <c r="AT43" s="11"/>
      <c r="AU43" s="11"/>
      <c r="AV43" s="545"/>
      <c r="AW43" s="11"/>
      <c r="AX43" s="11"/>
      <c r="AY43" s="11"/>
      <c r="AZ43" s="18"/>
      <c r="BA43" s="18"/>
      <c r="BB43" s="19"/>
      <c r="BC43" s="544"/>
      <c r="BD43" s="544"/>
      <c r="BE43" s="1045"/>
      <c r="BF43" s="445"/>
      <c r="BG43" s="1130"/>
      <c r="BH43" s="1130"/>
      <c r="BI43" s="11"/>
    </row>
    <row r="44" spans="1:61" ht="19.149999999999999" customHeight="1">
      <c r="A44" s="545">
        <v>4</v>
      </c>
      <c r="B44" s="426" t="s">
        <v>86</v>
      </c>
      <c r="C44" s="545">
        <f>C45+C46+C47+C48+C49+C50+C51</f>
        <v>130.1</v>
      </c>
      <c r="D44" s="545">
        <f t="shared" ref="D44:AG44" si="113">D45+D46+D47+D48+D49+D50+D51</f>
        <v>3.1</v>
      </c>
      <c r="E44" s="545">
        <f t="shared" si="113"/>
        <v>24962.5</v>
      </c>
      <c r="F44" s="545">
        <f t="shared" si="113"/>
        <v>270.60000000000002</v>
      </c>
      <c r="G44" s="558">
        <v>15989.3</v>
      </c>
      <c r="H44" s="545">
        <f t="shared" si="113"/>
        <v>24962.5</v>
      </c>
      <c r="I44" s="545">
        <f t="shared" si="113"/>
        <v>23864.9</v>
      </c>
      <c r="J44" s="545">
        <f t="shared" si="113"/>
        <v>0</v>
      </c>
      <c r="K44" s="545">
        <f t="shared" si="113"/>
        <v>1097.5999999999999</v>
      </c>
      <c r="L44" s="545">
        <f t="shared" si="113"/>
        <v>270.60000000000002</v>
      </c>
      <c r="M44" s="545">
        <f t="shared" si="113"/>
        <v>270.60000000000002</v>
      </c>
      <c r="N44" s="545">
        <f t="shared" si="113"/>
        <v>0</v>
      </c>
      <c r="O44" s="559">
        <f t="shared" si="113"/>
        <v>6.8999999999999986</v>
      </c>
      <c r="P44" s="560">
        <f t="shared" si="113"/>
        <v>137</v>
      </c>
      <c r="Q44" s="545">
        <f t="shared" si="113"/>
        <v>1</v>
      </c>
      <c r="R44" s="558">
        <v>15989.3</v>
      </c>
      <c r="S44" s="558"/>
      <c r="T44" s="561">
        <f>SUM(T45:T51)</f>
        <v>24923469</v>
      </c>
      <c r="U44" s="545">
        <f t="shared" ref="U44:AB44" si="114">U45+U46+U47+U48+U49+U50+U51</f>
        <v>24838509</v>
      </c>
      <c r="V44" s="545">
        <f t="shared" si="114"/>
        <v>23740909</v>
      </c>
      <c r="W44" s="545">
        <f t="shared" si="114"/>
        <v>0</v>
      </c>
      <c r="X44" s="545">
        <f t="shared" si="114"/>
        <v>1097600</v>
      </c>
      <c r="Y44" s="545">
        <f t="shared" si="114"/>
        <v>84960</v>
      </c>
      <c r="Z44" s="545">
        <f t="shared" si="114"/>
        <v>84960</v>
      </c>
      <c r="AA44" s="545">
        <f t="shared" si="114"/>
        <v>0</v>
      </c>
      <c r="AB44" s="545">
        <f t="shared" si="114"/>
        <v>0</v>
      </c>
      <c r="AC44" s="545">
        <f t="shared" si="113"/>
        <v>24923469</v>
      </c>
      <c r="AD44" s="545">
        <f t="shared" si="113"/>
        <v>23825869</v>
      </c>
      <c r="AE44" s="545">
        <f t="shared" si="113"/>
        <v>0</v>
      </c>
      <c r="AF44" s="545">
        <f t="shared" si="113"/>
        <v>1097600</v>
      </c>
      <c r="AG44" s="545">
        <f t="shared" si="113"/>
        <v>31021281.439999998</v>
      </c>
      <c r="AH44" s="558">
        <f>2895370.94-1289670.94</f>
        <v>1605700</v>
      </c>
      <c r="AI44" s="1086">
        <v>33131546.379999999</v>
      </c>
      <c r="AJ44" s="765">
        <f>AH44+AG44</f>
        <v>32626981.439999998</v>
      </c>
      <c r="AK44" s="1087">
        <f>AJ44-AI44</f>
        <v>-504564.94000000134</v>
      </c>
      <c r="AL44" s="563">
        <v>15989.3</v>
      </c>
      <c r="AM44" s="563">
        <f t="shared" si="32"/>
        <v>0</v>
      </c>
      <c r="AN44" s="545">
        <f>AN45+AN46+AN47+AN48+AN49+AN50+AN51</f>
        <v>-2</v>
      </c>
      <c r="AO44" s="545">
        <f>AO45+AO46+AO47+AO48+AO49+AO50+AO51</f>
        <v>135</v>
      </c>
      <c r="AP44" s="545">
        <f t="shared" ref="AP44:BC44" si="115">AP45+AP46+AP47+AP48+AP49+AP50+AP51</f>
        <v>1</v>
      </c>
      <c r="AQ44" s="561">
        <f>SUM(AQ45:AQ51)</f>
        <v>24239071.100000001</v>
      </c>
      <c r="AR44" s="545">
        <f t="shared" si="34"/>
        <v>25902666</v>
      </c>
      <c r="AS44" s="545">
        <f t="shared" si="115"/>
        <v>23056511.100000001</v>
      </c>
      <c r="AT44" s="545">
        <f t="shared" si="115"/>
        <v>0</v>
      </c>
      <c r="AU44" s="545">
        <f t="shared" si="115"/>
        <v>1097600</v>
      </c>
      <c r="AV44" s="545">
        <f t="shared" si="98"/>
        <v>0</v>
      </c>
      <c r="AW44" s="545">
        <f>AW45+AW46+AW47+AW48+AW49+AW50+AW51</f>
        <v>84960</v>
      </c>
      <c r="AX44" s="545">
        <f t="shared" si="115"/>
        <v>0</v>
      </c>
      <c r="AY44" s="545">
        <f t="shared" si="115"/>
        <v>0</v>
      </c>
      <c r="AZ44" s="545">
        <f t="shared" si="115"/>
        <v>0</v>
      </c>
      <c r="BA44" s="545">
        <f t="shared" si="115"/>
        <v>1097600</v>
      </c>
      <c r="BB44" s="545">
        <f t="shared" si="115"/>
        <v>23141471.100000001</v>
      </c>
      <c r="BC44" s="545">
        <f t="shared" si="115"/>
        <v>30130195.399999999</v>
      </c>
      <c r="BD44" s="558">
        <v>1534100</v>
      </c>
      <c r="BE44" s="564">
        <f>BD44+BC44</f>
        <v>31664295.399999999</v>
      </c>
      <c r="BF44" s="562">
        <v>33131546.379999999</v>
      </c>
      <c r="BG44" s="865">
        <f>BE44-BF44</f>
        <v>-1467250.9800000004</v>
      </c>
      <c r="BH44" s="875">
        <f>AG44+AH44</f>
        <v>32626981.439999998</v>
      </c>
      <c r="BI44" s="876">
        <f>BH44-AI44</f>
        <v>-504564.94000000134</v>
      </c>
    </row>
    <row r="45" spans="1:61" ht="13.5" customHeight="1">
      <c r="A45" s="11">
        <v>1</v>
      </c>
      <c r="B45" s="13" t="s">
        <v>71</v>
      </c>
      <c r="C45" s="17">
        <v>4</v>
      </c>
      <c r="D45" s="17"/>
      <c r="E45" s="11">
        <v>1529.7</v>
      </c>
      <c r="F45" s="11"/>
      <c r="G45" s="555">
        <v>31868.75</v>
      </c>
      <c r="H45" s="545">
        <f>I45+J45+K45</f>
        <v>1529.7</v>
      </c>
      <c r="I45" s="11">
        <f t="shared" ref="I45:I51" si="116">E45-K45-J45</f>
        <v>1524</v>
      </c>
      <c r="J45" s="11"/>
      <c r="K45" s="11">
        <v>5.7</v>
      </c>
      <c r="L45" s="545">
        <f t="shared" ref="L45:L51" si="117">M45+N45</f>
        <v>0</v>
      </c>
      <c r="M45" s="11">
        <f>F45-N45</f>
        <v>0</v>
      </c>
      <c r="N45" s="11"/>
      <c r="O45" s="861">
        <f>P45-C45</f>
        <v>0</v>
      </c>
      <c r="P45" s="444">
        <v>4</v>
      </c>
      <c r="Q45" s="17"/>
      <c r="R45" s="555">
        <v>31868.75</v>
      </c>
      <c r="S45" s="555"/>
      <c r="T45" s="554">
        <f>U45+Y45</f>
        <v>1529700</v>
      </c>
      <c r="U45" s="556">
        <f t="shared" ref="U45:U51" si="118">ROUND(R45*P45*12,2)</f>
        <v>1529700</v>
      </c>
      <c r="V45" s="433">
        <f t="shared" ref="V45:V51" si="119">U45-W45-X45</f>
        <v>1524000</v>
      </c>
      <c r="W45" s="11"/>
      <c r="X45" s="11">
        <v>5700</v>
      </c>
      <c r="Y45" s="556">
        <f t="shared" ref="Y45:Y51" si="120">ROUND(S45*Q45*12,2)</f>
        <v>0</v>
      </c>
      <c r="Z45" s="11">
        <f t="shared" ref="Z45:Z51" si="121">Y45-AA45-AB45</f>
        <v>0</v>
      </c>
      <c r="AA45" s="11"/>
      <c r="AB45" s="11"/>
      <c r="AC45" s="554">
        <f t="shared" ref="AC45:AC51" si="122">AD45+AE45+AF45</f>
        <v>1529700</v>
      </c>
      <c r="AD45" s="433">
        <f t="shared" ref="AD45:AD51" si="123">ROUND((Z45+V45),2)</f>
        <v>1524000</v>
      </c>
      <c r="AE45" s="11">
        <f t="shared" ref="AE45:AF51" si="124">AA45+W45</f>
        <v>0</v>
      </c>
      <c r="AF45" s="11">
        <f t="shared" si="124"/>
        <v>5700</v>
      </c>
      <c r="AG45" s="544">
        <f t="shared" ref="AG45:AG51" si="125">ROUND(AD45*1.302,2)</f>
        <v>1984248</v>
      </c>
      <c r="AH45" s="765">
        <v>1605700</v>
      </c>
      <c r="AI45" s="1084"/>
      <c r="AJ45" s="850"/>
      <c r="AK45" s="850"/>
      <c r="AL45" s="557">
        <v>31868.75</v>
      </c>
      <c r="AM45" s="557">
        <f t="shared" si="32"/>
        <v>0</v>
      </c>
      <c r="AN45" s="1233"/>
      <c r="AO45" s="17">
        <v>4</v>
      </c>
      <c r="AP45" s="17"/>
      <c r="AQ45" s="554">
        <f>AR45+AV45</f>
        <v>1529700</v>
      </c>
      <c r="AR45" s="545">
        <f t="shared" si="34"/>
        <v>1529700</v>
      </c>
      <c r="AS45" s="11">
        <f t="shared" ref="AS45:AS51" si="126">AR45-AT45-AU45</f>
        <v>1524000</v>
      </c>
      <c r="AT45" s="11">
        <f>W45</f>
        <v>0</v>
      </c>
      <c r="AU45" s="11">
        <f t="shared" ref="AU45:AU51" si="127">X45</f>
        <v>5700</v>
      </c>
      <c r="AV45" s="545">
        <f t="shared" si="98"/>
        <v>0</v>
      </c>
      <c r="AW45" s="11">
        <f t="shared" ref="AW45:AW51" si="128">AV45-AX45-AY45</f>
        <v>0</v>
      </c>
      <c r="AX45" s="11">
        <f t="shared" ref="AX45:AY51" si="129">AA45</f>
        <v>0</v>
      </c>
      <c r="AY45" s="11">
        <f t="shared" si="129"/>
        <v>0</v>
      </c>
      <c r="AZ45" s="18">
        <f>AX45+AT45</f>
        <v>0</v>
      </c>
      <c r="BA45" s="18">
        <f t="shared" ref="BA45:BA51" si="130">AY45+AU45</f>
        <v>5700</v>
      </c>
      <c r="BB45" s="19">
        <f>AW45+AS45</f>
        <v>1524000</v>
      </c>
      <c r="BC45" s="544">
        <f>ROUND(BB45*1.302,1)</f>
        <v>1984248</v>
      </c>
      <c r="BD45" s="544"/>
      <c r="BE45" s="11"/>
      <c r="BF45" s="445"/>
      <c r="BG45" s="439"/>
      <c r="BH45" s="439"/>
      <c r="BI45" s="11"/>
    </row>
    <row r="46" spans="1:61">
      <c r="A46" s="11">
        <v>2</v>
      </c>
      <c r="B46" s="13" t="s">
        <v>72</v>
      </c>
      <c r="C46" s="17">
        <v>4.7</v>
      </c>
      <c r="D46" s="17"/>
      <c r="E46" s="11">
        <v>2370.8000000000002</v>
      </c>
      <c r="F46" s="11"/>
      <c r="G46" s="555">
        <v>42035.46</v>
      </c>
      <c r="H46" s="545">
        <f t="shared" ref="H46:H51" si="131">I46+J46+K46</f>
        <v>2370.8000000000002</v>
      </c>
      <c r="I46" s="11">
        <f t="shared" si="116"/>
        <v>2360.9</v>
      </c>
      <c r="J46" s="11"/>
      <c r="K46" s="11">
        <v>9.9</v>
      </c>
      <c r="L46" s="545">
        <f t="shared" si="117"/>
        <v>0</v>
      </c>
      <c r="M46" s="11">
        <f t="shared" ref="M46:M51" si="132">F46-N46</f>
        <v>0</v>
      </c>
      <c r="N46" s="11"/>
      <c r="O46" s="861">
        <f t="shared" ref="O46:O51" si="133">P46-C46</f>
        <v>-1.7000000000000002</v>
      </c>
      <c r="P46" s="444">
        <v>3</v>
      </c>
      <c r="Q46" s="17"/>
      <c r="R46" s="555">
        <v>28600</v>
      </c>
      <c r="S46" s="555"/>
      <c r="T46" s="554">
        <f t="shared" ref="T46:T51" si="134">U46+Y46</f>
        <v>1029600</v>
      </c>
      <c r="U46" s="556">
        <f t="shared" si="118"/>
        <v>1029600</v>
      </c>
      <c r="V46" s="433">
        <f t="shared" si="119"/>
        <v>1019700</v>
      </c>
      <c r="W46" s="11"/>
      <c r="X46" s="11">
        <v>9900</v>
      </c>
      <c r="Y46" s="556">
        <f t="shared" si="120"/>
        <v>0</v>
      </c>
      <c r="Z46" s="11">
        <f t="shared" si="121"/>
        <v>0</v>
      </c>
      <c r="AA46" s="11"/>
      <c r="AB46" s="11"/>
      <c r="AC46" s="554">
        <f t="shared" si="122"/>
        <v>1029600</v>
      </c>
      <c r="AD46" s="433">
        <f t="shared" si="123"/>
        <v>1019700</v>
      </c>
      <c r="AE46" s="11">
        <f t="shared" si="124"/>
        <v>0</v>
      </c>
      <c r="AF46" s="11">
        <f t="shared" si="124"/>
        <v>9900</v>
      </c>
      <c r="AG46" s="544">
        <f t="shared" si="125"/>
        <v>1327649.3999999999</v>
      </c>
      <c r="AH46" s="433">
        <f>AH44-AH45</f>
        <v>0</v>
      </c>
      <c r="AI46" s="1084"/>
      <c r="AJ46" s="850"/>
      <c r="AK46" s="850"/>
      <c r="AL46" s="557">
        <v>28000</v>
      </c>
      <c r="AM46" s="557">
        <f t="shared" si="32"/>
        <v>0</v>
      </c>
      <c r="AN46" s="1233"/>
      <c r="AO46" s="17">
        <v>3</v>
      </c>
      <c r="AP46" s="17"/>
      <c r="AQ46" s="554">
        <f t="shared" ref="AQ46:AQ51" si="135">AR46+AV46</f>
        <v>1008000</v>
      </c>
      <c r="AR46" s="545">
        <f t="shared" si="34"/>
        <v>1008000</v>
      </c>
      <c r="AS46" s="11">
        <f t="shared" si="126"/>
        <v>998100</v>
      </c>
      <c r="AT46" s="11">
        <f t="shared" ref="AT46:AT51" si="136">W46</f>
        <v>0</v>
      </c>
      <c r="AU46" s="11">
        <f t="shared" si="127"/>
        <v>9900</v>
      </c>
      <c r="AV46" s="545">
        <f t="shared" si="98"/>
        <v>0</v>
      </c>
      <c r="AW46" s="11">
        <f t="shared" si="128"/>
        <v>0</v>
      </c>
      <c r="AX46" s="11">
        <f t="shared" si="129"/>
        <v>0</v>
      </c>
      <c r="AY46" s="11">
        <f t="shared" si="129"/>
        <v>0</v>
      </c>
      <c r="AZ46" s="18">
        <f t="shared" ref="AZ46:AZ51" si="137">AX46+AT46</f>
        <v>0</v>
      </c>
      <c r="BA46" s="18">
        <f t="shared" si="130"/>
        <v>9900</v>
      </c>
      <c r="BB46" s="19">
        <f t="shared" ref="BB46:BB51" si="138">AW46+AS46</f>
        <v>998100</v>
      </c>
      <c r="BC46" s="544">
        <f t="shared" ref="BC46:BC51" si="139">ROUND(BB46*1.302,1)</f>
        <v>1299526.2</v>
      </c>
      <c r="BD46" s="544"/>
      <c r="BE46" s="11"/>
      <c r="BF46" s="445"/>
      <c r="BG46" s="439"/>
      <c r="BH46" s="439"/>
      <c r="BI46" s="11"/>
    </row>
    <row r="47" spans="1:61">
      <c r="A47" s="11">
        <v>3</v>
      </c>
      <c r="B47" s="14" t="s">
        <v>76</v>
      </c>
      <c r="C47" s="17">
        <v>61.2</v>
      </c>
      <c r="D47" s="17">
        <v>0.4</v>
      </c>
      <c r="E47" s="11">
        <v>15824.6</v>
      </c>
      <c r="F47" s="11">
        <v>41.2</v>
      </c>
      <c r="G47" s="29">
        <v>21547.66</v>
      </c>
      <c r="H47" s="545">
        <f t="shared" si="131"/>
        <v>15824.6</v>
      </c>
      <c r="I47" s="11">
        <f t="shared" si="116"/>
        <v>14745.1</v>
      </c>
      <c r="J47" s="11"/>
      <c r="K47" s="11">
        <v>1079.5</v>
      </c>
      <c r="L47" s="545">
        <f t="shared" si="117"/>
        <v>41.2</v>
      </c>
      <c r="M47" s="11">
        <f t="shared" si="132"/>
        <v>41.2</v>
      </c>
      <c r="N47" s="11"/>
      <c r="O47" s="861">
        <f t="shared" si="133"/>
        <v>0.79999999999999716</v>
      </c>
      <c r="P47" s="444">
        <v>62</v>
      </c>
      <c r="Q47" s="17"/>
      <c r="R47" s="29">
        <v>21547.66</v>
      </c>
      <c r="S47" s="555">
        <f>ROUND(F47/D47/12*1000,2)</f>
        <v>8583.33</v>
      </c>
      <c r="T47" s="554">
        <f t="shared" si="134"/>
        <v>16031459.039999999</v>
      </c>
      <c r="U47" s="556">
        <f t="shared" si="118"/>
        <v>16031459.039999999</v>
      </c>
      <c r="V47" s="433">
        <f t="shared" si="119"/>
        <v>14951959.039999999</v>
      </c>
      <c r="W47" s="11"/>
      <c r="X47" s="11">
        <v>1079500</v>
      </c>
      <c r="Y47" s="556">
        <f t="shared" si="120"/>
        <v>0</v>
      </c>
      <c r="Z47" s="11">
        <f t="shared" si="121"/>
        <v>0</v>
      </c>
      <c r="AA47" s="11"/>
      <c r="AB47" s="11"/>
      <c r="AC47" s="554">
        <f t="shared" si="122"/>
        <v>16031459.039999999</v>
      </c>
      <c r="AD47" s="433">
        <f t="shared" si="123"/>
        <v>14951959.039999999</v>
      </c>
      <c r="AE47" s="11">
        <f t="shared" si="124"/>
        <v>0</v>
      </c>
      <c r="AF47" s="11">
        <f t="shared" si="124"/>
        <v>1079500</v>
      </c>
      <c r="AG47" s="544">
        <f t="shared" si="125"/>
        <v>19467450.670000002</v>
      </c>
      <c r="AH47" s="11"/>
      <c r="AI47" s="1084"/>
      <c r="AJ47" s="850"/>
      <c r="AK47" s="850"/>
      <c r="AL47" s="440">
        <v>21547.66</v>
      </c>
      <c r="AM47" s="557">
        <f t="shared" si="32"/>
        <v>8583.33</v>
      </c>
      <c r="AN47" s="1233">
        <f>AO47-P47</f>
        <v>-1</v>
      </c>
      <c r="AO47" s="17">
        <v>61</v>
      </c>
      <c r="AP47" s="17"/>
      <c r="AQ47" s="554">
        <f t="shared" si="135"/>
        <v>15772887.1</v>
      </c>
      <c r="AR47" s="545">
        <f t="shared" si="34"/>
        <v>15772887.1</v>
      </c>
      <c r="AS47" s="11">
        <f t="shared" si="126"/>
        <v>14693387.1</v>
      </c>
      <c r="AT47" s="11">
        <f t="shared" si="136"/>
        <v>0</v>
      </c>
      <c r="AU47" s="11">
        <f t="shared" si="127"/>
        <v>1079500</v>
      </c>
      <c r="AV47" s="545">
        <f t="shared" si="98"/>
        <v>0</v>
      </c>
      <c r="AW47" s="11">
        <f t="shared" si="128"/>
        <v>0</v>
      </c>
      <c r="AX47" s="11">
        <f t="shared" si="129"/>
        <v>0</v>
      </c>
      <c r="AY47" s="11">
        <f t="shared" si="129"/>
        <v>0</v>
      </c>
      <c r="AZ47" s="18">
        <f t="shared" si="137"/>
        <v>0</v>
      </c>
      <c r="BA47" s="18">
        <f t="shared" si="130"/>
        <v>1079500</v>
      </c>
      <c r="BB47" s="19">
        <f t="shared" si="138"/>
        <v>14693387.1</v>
      </c>
      <c r="BC47" s="544">
        <f t="shared" si="139"/>
        <v>19130790</v>
      </c>
      <c r="BD47" s="544"/>
      <c r="BE47" s="11"/>
      <c r="BF47" s="445"/>
      <c r="BG47" s="439"/>
      <c r="BH47" s="439"/>
      <c r="BI47" s="11"/>
    </row>
    <row r="48" spans="1:61">
      <c r="A48" s="11">
        <v>4</v>
      </c>
      <c r="B48" s="14" t="s">
        <v>77</v>
      </c>
      <c r="C48" s="17">
        <v>0.8</v>
      </c>
      <c r="D48" s="17"/>
      <c r="E48" s="11">
        <v>174.2</v>
      </c>
      <c r="F48" s="11"/>
      <c r="G48" s="432">
        <v>18145.830000000002</v>
      </c>
      <c r="H48" s="545">
        <f t="shared" si="131"/>
        <v>174.2</v>
      </c>
      <c r="I48" s="11">
        <f t="shared" si="116"/>
        <v>171.7</v>
      </c>
      <c r="J48" s="11"/>
      <c r="K48" s="11">
        <v>2.5</v>
      </c>
      <c r="L48" s="545">
        <f t="shared" si="117"/>
        <v>0</v>
      </c>
      <c r="M48" s="11">
        <f t="shared" si="132"/>
        <v>0</v>
      </c>
      <c r="N48" s="11"/>
      <c r="O48" s="861">
        <f t="shared" si="133"/>
        <v>0.19999999999999996</v>
      </c>
      <c r="P48" s="444">
        <v>1</v>
      </c>
      <c r="Q48" s="17"/>
      <c r="R48" s="432">
        <v>18145.830000000002</v>
      </c>
      <c r="S48" s="555"/>
      <c r="T48" s="554">
        <f t="shared" si="134"/>
        <v>217749.96</v>
      </c>
      <c r="U48" s="556">
        <f t="shared" si="118"/>
        <v>217749.96</v>
      </c>
      <c r="V48" s="433">
        <f t="shared" si="119"/>
        <v>215249.96</v>
      </c>
      <c r="W48" s="11"/>
      <c r="X48" s="11">
        <v>2500</v>
      </c>
      <c r="Y48" s="556">
        <f t="shared" si="120"/>
        <v>0</v>
      </c>
      <c r="Z48" s="11">
        <f t="shared" si="121"/>
        <v>0</v>
      </c>
      <c r="AA48" s="11"/>
      <c r="AB48" s="11"/>
      <c r="AC48" s="554">
        <f t="shared" si="122"/>
        <v>217749.96</v>
      </c>
      <c r="AD48" s="433">
        <f t="shared" si="123"/>
        <v>215249.96</v>
      </c>
      <c r="AE48" s="11">
        <f t="shared" si="124"/>
        <v>0</v>
      </c>
      <c r="AF48" s="11">
        <f t="shared" si="124"/>
        <v>2500</v>
      </c>
      <c r="AG48" s="544">
        <f t="shared" si="125"/>
        <v>280255.45</v>
      </c>
      <c r="AH48" s="11"/>
      <c r="AI48" s="1084"/>
      <c r="AJ48" s="850"/>
      <c r="AK48" s="850"/>
      <c r="AL48" s="441">
        <v>18145.830000000002</v>
      </c>
      <c r="AM48" s="557">
        <f t="shared" si="32"/>
        <v>0</v>
      </c>
      <c r="AN48" s="1233"/>
      <c r="AO48" s="17">
        <v>1</v>
      </c>
      <c r="AP48" s="17"/>
      <c r="AQ48" s="554">
        <f t="shared" si="135"/>
        <v>217750</v>
      </c>
      <c r="AR48" s="545">
        <f t="shared" si="34"/>
        <v>217750</v>
      </c>
      <c r="AS48" s="11">
        <f t="shared" si="126"/>
        <v>215250</v>
      </c>
      <c r="AT48" s="11">
        <f t="shared" si="136"/>
        <v>0</v>
      </c>
      <c r="AU48" s="11">
        <f t="shared" si="127"/>
        <v>2500</v>
      </c>
      <c r="AV48" s="545">
        <f t="shared" si="98"/>
        <v>0</v>
      </c>
      <c r="AW48" s="11">
        <f t="shared" si="128"/>
        <v>0</v>
      </c>
      <c r="AX48" s="11">
        <f t="shared" si="129"/>
        <v>0</v>
      </c>
      <c r="AY48" s="11">
        <f t="shared" si="129"/>
        <v>0</v>
      </c>
      <c r="AZ48" s="18">
        <f t="shared" si="137"/>
        <v>0</v>
      </c>
      <c r="BA48" s="18">
        <f t="shared" si="130"/>
        <v>2500</v>
      </c>
      <c r="BB48" s="19">
        <f t="shared" si="138"/>
        <v>215250</v>
      </c>
      <c r="BC48" s="544">
        <f t="shared" si="139"/>
        <v>280255.5</v>
      </c>
      <c r="BD48" s="544"/>
      <c r="BE48" s="11"/>
      <c r="BF48" s="445"/>
      <c r="BG48" s="439"/>
      <c r="BH48" s="439"/>
      <c r="BI48" s="11"/>
    </row>
    <row r="49" spans="1:61">
      <c r="A49" s="11">
        <v>5</v>
      </c>
      <c r="B49" s="13" t="s">
        <v>73</v>
      </c>
      <c r="C49" s="17"/>
      <c r="D49" s="17"/>
      <c r="E49" s="11"/>
      <c r="F49" s="11"/>
      <c r="G49" s="555"/>
      <c r="H49" s="545">
        <f t="shared" si="131"/>
        <v>0</v>
      </c>
      <c r="I49" s="11">
        <f t="shared" si="116"/>
        <v>0</v>
      </c>
      <c r="J49" s="11"/>
      <c r="K49" s="11"/>
      <c r="L49" s="545">
        <f t="shared" si="117"/>
        <v>0</v>
      </c>
      <c r="M49" s="11">
        <f t="shared" si="132"/>
        <v>0</v>
      </c>
      <c r="N49" s="11"/>
      <c r="O49" s="861">
        <f t="shared" si="133"/>
        <v>0</v>
      </c>
      <c r="P49" s="444"/>
      <c r="Q49" s="17"/>
      <c r="R49" s="555"/>
      <c r="S49" s="555"/>
      <c r="T49" s="554">
        <f t="shared" si="134"/>
        <v>0</v>
      </c>
      <c r="U49" s="556">
        <f t="shared" si="118"/>
        <v>0</v>
      </c>
      <c r="V49" s="433">
        <f t="shared" si="119"/>
        <v>0</v>
      </c>
      <c r="W49" s="11"/>
      <c r="X49" s="11">
        <v>0</v>
      </c>
      <c r="Y49" s="556">
        <f t="shared" si="120"/>
        <v>0</v>
      </c>
      <c r="Z49" s="11">
        <f t="shared" si="121"/>
        <v>0</v>
      </c>
      <c r="AA49" s="11"/>
      <c r="AB49" s="11"/>
      <c r="AC49" s="554">
        <f t="shared" si="122"/>
        <v>0</v>
      </c>
      <c r="AD49" s="433">
        <f t="shared" si="123"/>
        <v>0</v>
      </c>
      <c r="AE49" s="11">
        <f t="shared" si="124"/>
        <v>0</v>
      </c>
      <c r="AF49" s="11">
        <f t="shared" si="124"/>
        <v>0</v>
      </c>
      <c r="AG49" s="544">
        <f t="shared" si="125"/>
        <v>0</v>
      </c>
      <c r="AH49" s="11"/>
      <c r="AI49" s="1084"/>
      <c r="AJ49" s="850"/>
      <c r="AK49" s="850"/>
      <c r="AL49" s="557"/>
      <c r="AM49" s="557">
        <f t="shared" si="32"/>
        <v>0</v>
      </c>
      <c r="AN49" s="1233"/>
      <c r="AO49" s="17"/>
      <c r="AP49" s="17"/>
      <c r="AQ49" s="554">
        <f t="shared" si="135"/>
        <v>0</v>
      </c>
      <c r="AR49" s="545">
        <f t="shared" si="34"/>
        <v>0</v>
      </c>
      <c r="AS49" s="11">
        <f t="shared" si="126"/>
        <v>0</v>
      </c>
      <c r="AT49" s="11">
        <f t="shared" si="136"/>
        <v>0</v>
      </c>
      <c r="AU49" s="11">
        <f t="shared" si="127"/>
        <v>0</v>
      </c>
      <c r="AV49" s="545">
        <f t="shared" si="98"/>
        <v>0</v>
      </c>
      <c r="AW49" s="11">
        <f t="shared" si="128"/>
        <v>0</v>
      </c>
      <c r="AX49" s="11">
        <f t="shared" si="129"/>
        <v>0</v>
      </c>
      <c r="AY49" s="11">
        <f t="shared" si="129"/>
        <v>0</v>
      </c>
      <c r="AZ49" s="18">
        <f t="shared" si="137"/>
        <v>0</v>
      </c>
      <c r="BA49" s="18">
        <f t="shared" si="130"/>
        <v>0</v>
      </c>
      <c r="BB49" s="19">
        <f t="shared" si="138"/>
        <v>0</v>
      </c>
      <c r="BC49" s="544">
        <f t="shared" si="139"/>
        <v>0</v>
      </c>
      <c r="BD49" s="544"/>
      <c r="BE49" s="11"/>
      <c r="BF49" s="445"/>
      <c r="BG49" s="439"/>
      <c r="BH49" s="439"/>
      <c r="BI49" s="11"/>
    </row>
    <row r="50" spans="1:61">
      <c r="A50" s="11">
        <v>6</v>
      </c>
      <c r="B50" s="13" t="s">
        <v>74</v>
      </c>
      <c r="C50" s="17"/>
      <c r="D50" s="17"/>
      <c r="E50" s="11"/>
      <c r="F50" s="11"/>
      <c r="G50" s="555"/>
      <c r="H50" s="545">
        <f t="shared" si="131"/>
        <v>0</v>
      </c>
      <c r="I50" s="11">
        <f t="shared" si="116"/>
        <v>0</v>
      </c>
      <c r="J50" s="11"/>
      <c r="K50" s="11"/>
      <c r="L50" s="545">
        <f t="shared" si="117"/>
        <v>0</v>
      </c>
      <c r="M50" s="11">
        <f t="shared" si="132"/>
        <v>0</v>
      </c>
      <c r="N50" s="11"/>
      <c r="O50" s="861">
        <f t="shared" si="133"/>
        <v>0</v>
      </c>
      <c r="P50" s="444"/>
      <c r="Q50" s="17"/>
      <c r="R50" s="555"/>
      <c r="S50" s="555"/>
      <c r="T50" s="554">
        <f t="shared" si="134"/>
        <v>0</v>
      </c>
      <c r="U50" s="556">
        <f t="shared" si="118"/>
        <v>0</v>
      </c>
      <c r="V50" s="433">
        <f t="shared" si="119"/>
        <v>0</v>
      </c>
      <c r="W50" s="11"/>
      <c r="X50" s="11">
        <v>0</v>
      </c>
      <c r="Y50" s="556">
        <f t="shared" si="120"/>
        <v>0</v>
      </c>
      <c r="Z50" s="11">
        <f t="shared" si="121"/>
        <v>0</v>
      </c>
      <c r="AA50" s="11"/>
      <c r="AB50" s="11"/>
      <c r="AC50" s="554">
        <f t="shared" si="122"/>
        <v>0</v>
      </c>
      <c r="AD50" s="433">
        <f t="shared" si="123"/>
        <v>0</v>
      </c>
      <c r="AE50" s="11">
        <f t="shared" si="124"/>
        <v>0</v>
      </c>
      <c r="AF50" s="11">
        <f t="shared" si="124"/>
        <v>0</v>
      </c>
      <c r="AG50" s="544">
        <f t="shared" si="125"/>
        <v>0</v>
      </c>
      <c r="AH50" s="11"/>
      <c r="AI50" s="1084"/>
      <c r="AJ50" s="850"/>
      <c r="AK50" s="850"/>
      <c r="AL50" s="557"/>
      <c r="AM50" s="557">
        <f t="shared" si="32"/>
        <v>0</v>
      </c>
      <c r="AN50" s="1233"/>
      <c r="AO50" s="17"/>
      <c r="AP50" s="17"/>
      <c r="AQ50" s="554">
        <f t="shared" si="135"/>
        <v>0</v>
      </c>
      <c r="AR50" s="545">
        <f t="shared" si="34"/>
        <v>0</v>
      </c>
      <c r="AS50" s="11">
        <f t="shared" si="126"/>
        <v>0</v>
      </c>
      <c r="AT50" s="11">
        <f t="shared" si="136"/>
        <v>0</v>
      </c>
      <c r="AU50" s="11">
        <f t="shared" si="127"/>
        <v>0</v>
      </c>
      <c r="AV50" s="545">
        <f t="shared" si="98"/>
        <v>0</v>
      </c>
      <c r="AW50" s="11">
        <f t="shared" si="128"/>
        <v>0</v>
      </c>
      <c r="AX50" s="11">
        <f t="shared" si="129"/>
        <v>0</v>
      </c>
      <c r="AY50" s="11">
        <f t="shared" si="129"/>
        <v>0</v>
      </c>
      <c r="AZ50" s="18">
        <f t="shared" si="137"/>
        <v>0</v>
      </c>
      <c r="BA50" s="18">
        <f t="shared" si="130"/>
        <v>0</v>
      </c>
      <c r="BB50" s="19">
        <f t="shared" si="138"/>
        <v>0</v>
      </c>
      <c r="BC50" s="544">
        <f t="shared" si="139"/>
        <v>0</v>
      </c>
      <c r="BD50" s="544"/>
      <c r="BE50" s="11"/>
      <c r="BF50" s="445"/>
      <c r="BG50" s="439"/>
      <c r="BH50" s="439"/>
      <c r="BI50" s="11"/>
    </row>
    <row r="51" spans="1:61">
      <c r="A51" s="11">
        <v>7</v>
      </c>
      <c r="B51" s="1131" t="s">
        <v>814</v>
      </c>
      <c r="C51" s="17">
        <v>59.4</v>
      </c>
      <c r="D51" s="17">
        <v>2.7</v>
      </c>
      <c r="E51" s="11">
        <v>5063.2</v>
      </c>
      <c r="F51" s="11">
        <v>229.4</v>
      </c>
      <c r="G51" s="555">
        <v>7103.25</v>
      </c>
      <c r="H51" s="545">
        <f t="shared" si="131"/>
        <v>5063.2</v>
      </c>
      <c r="I51" s="11">
        <f t="shared" si="116"/>
        <v>5063.2</v>
      </c>
      <c r="J51" s="11"/>
      <c r="K51" s="11">
        <v>0</v>
      </c>
      <c r="L51" s="545">
        <f t="shared" si="117"/>
        <v>229.4</v>
      </c>
      <c r="M51" s="11">
        <f t="shared" si="132"/>
        <v>229.4</v>
      </c>
      <c r="N51" s="11"/>
      <c r="O51" s="861">
        <f t="shared" si="133"/>
        <v>7.6000000000000014</v>
      </c>
      <c r="P51" s="879">
        <v>67</v>
      </c>
      <c r="Q51" s="17">
        <v>1</v>
      </c>
      <c r="R51" s="878">
        <v>7500</v>
      </c>
      <c r="S51" s="555">
        <v>7080</v>
      </c>
      <c r="T51" s="554">
        <f t="shared" si="134"/>
        <v>6114960</v>
      </c>
      <c r="U51" s="556">
        <f t="shared" si="118"/>
        <v>6030000</v>
      </c>
      <c r="V51" s="433">
        <f t="shared" si="119"/>
        <v>6030000</v>
      </c>
      <c r="W51" s="11"/>
      <c r="X51" s="11">
        <v>0</v>
      </c>
      <c r="Y51" s="556">
        <f t="shared" si="120"/>
        <v>84960</v>
      </c>
      <c r="Z51" s="11">
        <f t="shared" si="121"/>
        <v>84960</v>
      </c>
      <c r="AA51" s="11"/>
      <c r="AB51" s="11"/>
      <c r="AC51" s="554">
        <f t="shared" si="122"/>
        <v>6114960</v>
      </c>
      <c r="AD51" s="433">
        <f t="shared" si="123"/>
        <v>6114960</v>
      </c>
      <c r="AE51" s="11">
        <f t="shared" si="124"/>
        <v>0</v>
      </c>
      <c r="AF51" s="11">
        <f t="shared" si="124"/>
        <v>0</v>
      </c>
      <c r="AG51" s="544">
        <f t="shared" si="125"/>
        <v>7961677.9199999999</v>
      </c>
      <c r="AH51" s="11"/>
      <c r="AI51" s="1084"/>
      <c r="AJ51" s="850"/>
      <c r="AK51" s="850"/>
      <c r="AL51" s="557">
        <v>7103.25</v>
      </c>
      <c r="AM51" s="557">
        <f t="shared" si="32"/>
        <v>7080</v>
      </c>
      <c r="AN51" s="1233">
        <f>AO51-P51</f>
        <v>-1</v>
      </c>
      <c r="AO51" s="17">
        <v>66</v>
      </c>
      <c r="AP51" s="17">
        <v>1</v>
      </c>
      <c r="AQ51" s="554">
        <f t="shared" si="135"/>
        <v>5710734</v>
      </c>
      <c r="AR51" s="545">
        <f t="shared" si="34"/>
        <v>5625774</v>
      </c>
      <c r="AS51" s="11">
        <f t="shared" si="126"/>
        <v>5625774</v>
      </c>
      <c r="AT51" s="11">
        <f t="shared" si="136"/>
        <v>0</v>
      </c>
      <c r="AU51" s="11">
        <f t="shared" si="127"/>
        <v>0</v>
      </c>
      <c r="AV51" s="545">
        <f t="shared" si="98"/>
        <v>84960</v>
      </c>
      <c r="AW51" s="11">
        <f t="shared" si="128"/>
        <v>84960</v>
      </c>
      <c r="AX51" s="11">
        <f t="shared" si="129"/>
        <v>0</v>
      </c>
      <c r="AY51" s="11">
        <f t="shared" si="129"/>
        <v>0</v>
      </c>
      <c r="AZ51" s="18">
        <f t="shared" si="137"/>
        <v>0</v>
      </c>
      <c r="BA51" s="18">
        <f t="shared" si="130"/>
        <v>0</v>
      </c>
      <c r="BB51" s="19">
        <f t="shared" si="138"/>
        <v>5710734</v>
      </c>
      <c r="BC51" s="544">
        <f t="shared" si="139"/>
        <v>7435375.7000000002</v>
      </c>
      <c r="BD51" s="544"/>
      <c r="BE51" s="11"/>
      <c r="BF51" s="445"/>
      <c r="BG51" s="439"/>
      <c r="BH51" s="439"/>
      <c r="BI51" s="11"/>
    </row>
    <row r="52" spans="1:61">
      <c r="A52" s="872"/>
      <c r="B52" s="1132" t="s">
        <v>815</v>
      </c>
      <c r="C52" s="1134"/>
      <c r="D52" s="1134"/>
      <c r="E52" s="872"/>
      <c r="F52" s="872"/>
      <c r="G52" s="1135"/>
      <c r="H52" s="1136"/>
      <c r="I52" s="872"/>
      <c r="J52" s="872"/>
      <c r="K52" s="872"/>
      <c r="L52" s="1136"/>
      <c r="M52" s="872"/>
      <c r="N52" s="872"/>
      <c r="O52" s="1137"/>
      <c r="P52" s="1138"/>
      <c r="Q52" s="1134"/>
      <c r="R52" s="1139"/>
      <c r="S52" s="1135"/>
      <c r="T52" s="1140"/>
      <c r="U52" s="1141"/>
      <c r="V52" s="1142"/>
      <c r="W52" s="872"/>
      <c r="X52" s="872"/>
      <c r="Y52" s="1141"/>
      <c r="Z52" s="872"/>
      <c r="AA52" s="872"/>
      <c r="AB52" s="872"/>
      <c r="AC52" s="1140"/>
      <c r="AD52" s="1142"/>
      <c r="AE52" s="872"/>
      <c r="AF52" s="872"/>
      <c r="AG52" s="1143"/>
      <c r="AH52" s="872"/>
      <c r="AI52" s="1144"/>
      <c r="AJ52" s="850"/>
      <c r="AK52" s="1046"/>
      <c r="AL52" s="1135"/>
      <c r="AM52" s="1135"/>
      <c r="AN52" s="1233"/>
      <c r="AO52" s="1134"/>
      <c r="AP52" s="1134"/>
      <c r="AQ52" s="1140"/>
      <c r="AR52" s="1136"/>
      <c r="AS52" s="872"/>
      <c r="AT52" s="872"/>
      <c r="AU52" s="872"/>
      <c r="AV52" s="1136"/>
      <c r="AW52" s="872"/>
      <c r="AX52" s="872"/>
      <c r="AY52" s="872"/>
      <c r="AZ52" s="1145"/>
      <c r="BA52" s="1145"/>
      <c r="BB52" s="1146"/>
      <c r="BC52" s="1143"/>
      <c r="BD52" s="1143"/>
      <c r="BE52" s="872"/>
      <c r="BF52" s="1144"/>
      <c r="BG52" s="872"/>
      <c r="BH52" s="1130"/>
      <c r="BI52" s="11"/>
    </row>
    <row r="53" spans="1:61" s="583" customFormat="1" ht="19.149999999999999" customHeight="1">
      <c r="A53" s="584">
        <v>5</v>
      </c>
      <c r="B53" s="585" t="s">
        <v>89</v>
      </c>
      <c r="C53" s="584">
        <f>C54+C55+C56+C57+C58+C59+C60</f>
        <v>556.5</v>
      </c>
      <c r="D53" s="584">
        <f>D54+D55+D56+D57+D58+D59+D60</f>
        <v>10.100000000000001</v>
      </c>
      <c r="E53" s="584">
        <f t="shared" ref="E53:AF53" si="140">E54+E55+E56+E57+E58+E59+E60</f>
        <v>118766.79999999999</v>
      </c>
      <c r="F53" s="584">
        <f t="shared" si="140"/>
        <v>1744.1999999999998</v>
      </c>
      <c r="G53" s="586">
        <v>17784.79</v>
      </c>
      <c r="H53" s="584">
        <f t="shared" si="140"/>
        <v>118766.79999999999</v>
      </c>
      <c r="I53" s="584">
        <f t="shared" si="140"/>
        <v>112726.79999999999</v>
      </c>
      <c r="J53" s="584">
        <f t="shared" si="140"/>
        <v>0</v>
      </c>
      <c r="K53" s="584">
        <f t="shared" si="140"/>
        <v>6040</v>
      </c>
      <c r="L53" s="584">
        <f t="shared" si="140"/>
        <v>1744.1999999999998</v>
      </c>
      <c r="M53" s="584">
        <f t="shared" si="140"/>
        <v>1744.1999999999998</v>
      </c>
      <c r="N53" s="584">
        <f t="shared" si="140"/>
        <v>0</v>
      </c>
      <c r="O53" s="587">
        <f t="shared" si="140"/>
        <v>2.2999999999999936</v>
      </c>
      <c r="P53" s="588">
        <f>P54+P55+P56+P57+P58+P59+P60</f>
        <v>558.79999999999995</v>
      </c>
      <c r="Q53" s="584">
        <f t="shared" si="140"/>
        <v>9.5</v>
      </c>
      <c r="R53" s="586">
        <v>17784.79</v>
      </c>
      <c r="S53" s="586"/>
      <c r="T53" s="589">
        <f>SUM(T54:T60)</f>
        <v>120853546.48</v>
      </c>
      <c r="U53" s="584">
        <f t="shared" ref="U53:AB53" si="141">U54+U55+U56+U57+U58+U59+U60</f>
        <v>119222703.31</v>
      </c>
      <c r="V53" s="584">
        <f t="shared" si="141"/>
        <v>113021203.31</v>
      </c>
      <c r="W53" s="584">
        <f t="shared" si="141"/>
        <v>0</v>
      </c>
      <c r="X53" s="584">
        <f t="shared" si="141"/>
        <v>6201500</v>
      </c>
      <c r="Y53" s="584">
        <f t="shared" si="141"/>
        <v>1630843.17</v>
      </c>
      <c r="Z53" s="584">
        <f t="shared" si="141"/>
        <v>1630843.17</v>
      </c>
      <c r="AA53" s="584">
        <f t="shared" si="141"/>
        <v>0</v>
      </c>
      <c r="AB53" s="584">
        <f t="shared" si="141"/>
        <v>0</v>
      </c>
      <c r="AC53" s="586">
        <f>AC54+AC55+AC56+AC57+AC58+AC59+AC60</f>
        <v>120853546.48</v>
      </c>
      <c r="AD53" s="584">
        <f t="shared" si="140"/>
        <v>114652046.48</v>
      </c>
      <c r="AE53" s="584">
        <f t="shared" si="140"/>
        <v>0</v>
      </c>
      <c r="AF53" s="584">
        <f t="shared" si="140"/>
        <v>6201500</v>
      </c>
      <c r="AG53" s="584">
        <f>AG54+AG55+AG56+AG57+AG58+AG59+AG60</f>
        <v>149276964.51000002</v>
      </c>
      <c r="AH53" s="586">
        <v>5531000</v>
      </c>
      <c r="AI53" s="1088">
        <v>155138380.81</v>
      </c>
      <c r="AJ53" s="765">
        <f>AH53+AG53</f>
        <v>154807964.51000002</v>
      </c>
      <c r="AK53" s="1087">
        <f>AJ53-AI53</f>
        <v>-330416.29999998212</v>
      </c>
      <c r="AL53" s="591">
        <v>17784.79</v>
      </c>
      <c r="AM53" s="586">
        <f t="shared" si="32"/>
        <v>0</v>
      </c>
      <c r="AN53" s="584"/>
      <c r="AO53" s="584">
        <f>AO54+AO55+AO56+AO57+AO58+AO59+AO60</f>
        <v>558.79999999999995</v>
      </c>
      <c r="AP53" s="584">
        <f t="shared" ref="AP53:BA53" si="142">AP54+AP55+AP56+AP57+AP58+AP59+AP60</f>
        <v>9.5</v>
      </c>
      <c r="AQ53" s="589">
        <f>SUM(AQ54:AQ60)</f>
        <v>120853546.47000001</v>
      </c>
      <c r="AR53" s="584">
        <f t="shared" si="34"/>
        <v>119257687.8</v>
      </c>
      <c r="AS53" s="584">
        <f t="shared" si="142"/>
        <v>113021203.30000001</v>
      </c>
      <c r="AT53" s="584">
        <f t="shared" si="142"/>
        <v>0</v>
      </c>
      <c r="AU53" s="584">
        <f t="shared" si="142"/>
        <v>6201500</v>
      </c>
      <c r="AV53" s="584">
        <f>ROUND(AM53*AP53*12,2)</f>
        <v>0</v>
      </c>
      <c r="AW53" s="584">
        <f>AW54+AW55+AW56+AW57+AW58+AW59+AW60</f>
        <v>1630843.17</v>
      </c>
      <c r="AX53" s="584">
        <f t="shared" si="142"/>
        <v>0</v>
      </c>
      <c r="AY53" s="584">
        <f t="shared" si="142"/>
        <v>0</v>
      </c>
      <c r="AZ53" s="584">
        <f t="shared" si="142"/>
        <v>0</v>
      </c>
      <c r="BA53" s="584">
        <f t="shared" si="142"/>
        <v>6201500</v>
      </c>
      <c r="BB53" s="584">
        <f>BB54+BB55+BB56+BB57+BB58+BB59+BB60</f>
        <v>114652046.47</v>
      </c>
      <c r="BC53" s="584">
        <f>BC54+BC55+BC56+BC57+BC58+BC59+BC60</f>
        <v>149276964.39999998</v>
      </c>
      <c r="BD53" s="586">
        <v>5861416.4100000001</v>
      </c>
      <c r="BE53" s="592">
        <f>BD53+BC53</f>
        <v>155138380.80999997</v>
      </c>
      <c r="BF53" s="590">
        <v>155138380.81</v>
      </c>
      <c r="BG53" s="867">
        <f>BE53-BF53</f>
        <v>0</v>
      </c>
      <c r="BH53" s="875">
        <f>AG53+AH53</f>
        <v>154807964.51000002</v>
      </c>
      <c r="BI53" s="876">
        <f>BH53-AI53</f>
        <v>-330416.29999998212</v>
      </c>
    </row>
    <row r="54" spans="1:61" s="583" customFormat="1">
      <c r="A54" s="593">
        <v>1</v>
      </c>
      <c r="B54" s="594" t="s">
        <v>71</v>
      </c>
      <c r="C54" s="595">
        <v>8.8000000000000007</v>
      </c>
      <c r="D54" s="595"/>
      <c r="E54" s="593">
        <v>4912.8</v>
      </c>
      <c r="F54" s="593"/>
      <c r="G54" s="596">
        <v>46522.73</v>
      </c>
      <c r="H54" s="584">
        <f>I54+J54+K54</f>
        <v>4912.8</v>
      </c>
      <c r="I54" s="593">
        <f t="shared" ref="I54:I60" si="143">E54-K54-J54</f>
        <v>4912.8</v>
      </c>
      <c r="J54" s="593"/>
      <c r="K54" s="593">
        <f>'[3]Смарт 2015'!G72</f>
        <v>0</v>
      </c>
      <c r="L54" s="545">
        <f t="shared" ref="L54:L60" si="144">M54+N54</f>
        <v>0</v>
      </c>
      <c r="M54" s="11">
        <f>F54-N54</f>
        <v>0</v>
      </c>
      <c r="N54" s="593"/>
      <c r="O54" s="861">
        <f>P54-C54</f>
        <v>0.19999999999999929</v>
      </c>
      <c r="P54" s="598">
        <v>9</v>
      </c>
      <c r="Q54" s="595">
        <v>0</v>
      </c>
      <c r="R54" s="596">
        <v>46522.73</v>
      </c>
      <c r="S54" s="596"/>
      <c r="T54" s="599">
        <f>U54+Y54</f>
        <v>5024454.84</v>
      </c>
      <c r="U54" s="600">
        <f t="shared" ref="U54:U60" si="145">ROUND(R54*P54*12,2)</f>
        <v>5024454.84</v>
      </c>
      <c r="V54" s="601">
        <f t="shared" ref="V54:V60" si="146">U54-W54-X54</f>
        <v>5024454.84</v>
      </c>
      <c r="W54" s="593"/>
      <c r="X54" s="593">
        <v>0</v>
      </c>
      <c r="Y54" s="600">
        <f t="shared" ref="Y54:Y60" si="147">ROUND(S54*Q54*12,2)</f>
        <v>0</v>
      </c>
      <c r="Z54" s="593">
        <f t="shared" ref="Z54:Z60" si="148">Y54-AA54-AB54</f>
        <v>0</v>
      </c>
      <c r="AA54" s="593"/>
      <c r="AB54" s="593"/>
      <c r="AC54" s="599">
        <f t="shared" ref="AC54:AC60" si="149">AD54+AE54+AF54</f>
        <v>5024454.84</v>
      </c>
      <c r="AD54" s="601">
        <f t="shared" ref="AD54:AD60" si="150">ROUND((Z54+V54),2)</f>
        <v>5024454.84</v>
      </c>
      <c r="AE54" s="593">
        <f t="shared" ref="AE54:AF60" si="151">AA54+W54</f>
        <v>0</v>
      </c>
      <c r="AF54" s="593">
        <f t="shared" si="151"/>
        <v>0</v>
      </c>
      <c r="AG54" s="602">
        <f>ROUND(AD54*1.302,2)</f>
        <v>6541840.2000000002</v>
      </c>
      <c r="AH54" s="880">
        <v>5531000</v>
      </c>
      <c r="AI54" s="1090"/>
      <c r="AJ54" s="1094"/>
      <c r="AK54" s="1094"/>
      <c r="AL54" s="604">
        <v>46522.73</v>
      </c>
      <c r="AM54" s="596">
        <f t="shared" si="32"/>
        <v>0</v>
      </c>
      <c r="AN54" s="1233">
        <f>AO54-P54</f>
        <v>0</v>
      </c>
      <c r="AO54" s="595">
        <v>9</v>
      </c>
      <c r="AP54" s="595">
        <v>0</v>
      </c>
      <c r="AQ54" s="599">
        <f>AR54+AV54</f>
        <v>5024454.8</v>
      </c>
      <c r="AR54" s="584">
        <f t="shared" si="34"/>
        <v>5024454.8</v>
      </c>
      <c r="AS54" s="593">
        <f t="shared" ref="AS54:AS60" si="152">AR54-AT54-AU54</f>
        <v>5024454.8</v>
      </c>
      <c r="AT54" s="593">
        <f>W54</f>
        <v>0</v>
      </c>
      <c r="AU54" s="593">
        <f t="shared" ref="AU54:AU60" si="153">X54</f>
        <v>0</v>
      </c>
      <c r="AV54" s="584">
        <f t="shared" ref="AV54:AV105" si="154">ROUND(AM54*AP54*12,2)</f>
        <v>0</v>
      </c>
      <c r="AW54" s="593">
        <f t="shared" ref="AW54:AW60" si="155">AV54-AX54-AY54</f>
        <v>0</v>
      </c>
      <c r="AX54" s="593">
        <f t="shared" ref="AX54:AY60" si="156">AA54</f>
        <v>0</v>
      </c>
      <c r="AY54" s="593">
        <f t="shared" si="156"/>
        <v>0</v>
      </c>
      <c r="AZ54" s="605">
        <f>AX54+AT54</f>
        <v>0</v>
      </c>
      <c r="BA54" s="605">
        <f t="shared" ref="BA54:BA60" si="157">AY54+AU54</f>
        <v>0</v>
      </c>
      <c r="BB54" s="606">
        <f t="shared" ref="BB54:BB60" si="158">AW54+AS54</f>
        <v>5024454.8</v>
      </c>
      <c r="BC54" s="602">
        <f>ROUND(BB54*1.302,1)</f>
        <v>6541840.0999999996</v>
      </c>
      <c r="BD54" s="602"/>
      <c r="BE54" s="593"/>
      <c r="BF54" s="603"/>
      <c r="BG54" s="597"/>
      <c r="BH54" s="870"/>
      <c r="BI54" s="870"/>
    </row>
    <row r="55" spans="1:61" s="583" customFormat="1">
      <c r="A55" s="593">
        <v>2</v>
      </c>
      <c r="B55" s="594" t="s">
        <v>72</v>
      </c>
      <c r="C55" s="595">
        <v>51</v>
      </c>
      <c r="D55" s="595">
        <v>0.4</v>
      </c>
      <c r="E55" s="593">
        <v>18047.900000000001</v>
      </c>
      <c r="F55" s="593">
        <v>149.80000000000001</v>
      </c>
      <c r="G55" s="596">
        <v>29490.03</v>
      </c>
      <c r="H55" s="584">
        <f t="shared" ref="H55:H60" si="159">I55+J55+K55</f>
        <v>18047.900000000001</v>
      </c>
      <c r="I55" s="593">
        <f t="shared" si="143"/>
        <v>18047.900000000001</v>
      </c>
      <c r="J55" s="593"/>
      <c r="K55" s="593"/>
      <c r="L55" s="545">
        <f t="shared" si="144"/>
        <v>149.80000000000001</v>
      </c>
      <c r="M55" s="11">
        <f t="shared" ref="M55:M60" si="160">F55-N55</f>
        <v>149.80000000000001</v>
      </c>
      <c r="N55" s="593"/>
      <c r="O55" s="861">
        <f t="shared" ref="O55:O60" si="161">P55-C55</f>
        <v>-2</v>
      </c>
      <c r="P55" s="598">
        <v>49</v>
      </c>
      <c r="Q55" s="595">
        <v>0.4</v>
      </c>
      <c r="R55" s="596">
        <v>29490.03</v>
      </c>
      <c r="S55" s="596">
        <f>ROUND(F55/D55/12*1000,2)</f>
        <v>31208.33</v>
      </c>
      <c r="T55" s="599">
        <f t="shared" ref="T55:T60" si="162">U55+Y55</f>
        <v>17489937.620000001</v>
      </c>
      <c r="U55" s="600">
        <f t="shared" si="145"/>
        <v>17340137.640000001</v>
      </c>
      <c r="V55" s="601">
        <f t="shared" si="146"/>
        <v>17340137.640000001</v>
      </c>
      <c r="W55" s="593"/>
      <c r="X55" s="593">
        <v>0</v>
      </c>
      <c r="Y55" s="600">
        <f t="shared" si="147"/>
        <v>149799.98000000001</v>
      </c>
      <c r="Z55" s="593">
        <f t="shared" si="148"/>
        <v>149799.98000000001</v>
      </c>
      <c r="AA55" s="593"/>
      <c r="AB55" s="593"/>
      <c r="AC55" s="599">
        <f t="shared" si="149"/>
        <v>17489937.620000001</v>
      </c>
      <c r="AD55" s="601">
        <f t="shared" si="150"/>
        <v>17489937.620000001</v>
      </c>
      <c r="AE55" s="593">
        <f t="shared" si="151"/>
        <v>0</v>
      </c>
      <c r="AF55" s="593">
        <f t="shared" si="151"/>
        <v>0</v>
      </c>
      <c r="AG55" s="602">
        <f t="shared" ref="AG55:AG60" si="163">ROUND(AD55*1.302,2)</f>
        <v>22771898.780000001</v>
      </c>
      <c r="AH55" s="593"/>
      <c r="AI55" s="1090"/>
      <c r="AJ55" s="1094"/>
      <c r="AK55" s="1094"/>
      <c r="AL55" s="604">
        <v>29490.03</v>
      </c>
      <c r="AM55" s="596">
        <f t="shared" si="32"/>
        <v>31208.33</v>
      </c>
      <c r="AN55" s="1233"/>
      <c r="AO55" s="595">
        <v>49</v>
      </c>
      <c r="AP55" s="595">
        <v>0.4</v>
      </c>
      <c r="AQ55" s="599">
        <f t="shared" ref="AQ55:AQ60" si="164">AR55+AV55</f>
        <v>17489937.580000002</v>
      </c>
      <c r="AR55" s="584">
        <f t="shared" si="34"/>
        <v>17340137.600000001</v>
      </c>
      <c r="AS55" s="593">
        <f t="shared" si="152"/>
        <v>17340137.600000001</v>
      </c>
      <c r="AT55" s="593">
        <f t="shared" ref="AT55:AT60" si="165">W55</f>
        <v>0</v>
      </c>
      <c r="AU55" s="593">
        <f t="shared" si="153"/>
        <v>0</v>
      </c>
      <c r="AV55" s="584">
        <f>ROUND(AM55*AP55*12,2)</f>
        <v>149799.98000000001</v>
      </c>
      <c r="AW55" s="593">
        <f t="shared" si="155"/>
        <v>149799.98000000001</v>
      </c>
      <c r="AX55" s="593">
        <f t="shared" si="156"/>
        <v>0</v>
      </c>
      <c r="AY55" s="593">
        <f t="shared" si="156"/>
        <v>0</v>
      </c>
      <c r="AZ55" s="605">
        <f t="shared" ref="AZ55:AZ60" si="166">AX55+AT55</f>
        <v>0</v>
      </c>
      <c r="BA55" s="605">
        <f t="shared" si="157"/>
        <v>0</v>
      </c>
      <c r="BB55" s="606">
        <f t="shared" si="158"/>
        <v>17489937.580000002</v>
      </c>
      <c r="BC55" s="602">
        <f t="shared" ref="BC55:BC60" si="167">ROUND(BB55*1.302,1)</f>
        <v>22771898.699999999</v>
      </c>
      <c r="BD55" s="602"/>
      <c r="BE55" s="593"/>
      <c r="BF55" s="603"/>
      <c r="BG55" s="597"/>
      <c r="BH55" s="870"/>
      <c r="BI55" s="870"/>
    </row>
    <row r="56" spans="1:61" s="583" customFormat="1">
      <c r="A56" s="593">
        <v>3</v>
      </c>
      <c r="B56" s="607" t="s">
        <v>76</v>
      </c>
      <c r="C56" s="595">
        <v>260.10000000000002</v>
      </c>
      <c r="D56" s="595">
        <v>7</v>
      </c>
      <c r="E56" s="593">
        <v>69495.199999999997</v>
      </c>
      <c r="F56" s="593">
        <v>1322.5</v>
      </c>
      <c r="G56" s="608">
        <v>22265.54</v>
      </c>
      <c r="H56" s="584">
        <f t="shared" si="159"/>
        <v>69495.199999999997</v>
      </c>
      <c r="I56" s="593">
        <f t="shared" si="143"/>
        <v>63455.199999999997</v>
      </c>
      <c r="J56" s="593"/>
      <c r="K56" s="593">
        <v>6040</v>
      </c>
      <c r="L56" s="545">
        <f t="shared" si="144"/>
        <v>1322.5</v>
      </c>
      <c r="M56" s="11">
        <f t="shared" si="160"/>
        <v>1322.5</v>
      </c>
      <c r="N56" s="593"/>
      <c r="O56" s="861">
        <f t="shared" si="161"/>
        <v>4.3999999999999773</v>
      </c>
      <c r="P56" s="598">
        <v>264.5</v>
      </c>
      <c r="Q56" s="595">
        <v>6.4</v>
      </c>
      <c r="R56" s="608">
        <v>22265.54</v>
      </c>
      <c r="S56" s="596">
        <f>ROUND(F56/D56/12*1000,2)</f>
        <v>15744.05</v>
      </c>
      <c r="T56" s="599">
        <f t="shared" si="162"/>
        <v>71879967</v>
      </c>
      <c r="U56" s="600">
        <f t="shared" si="145"/>
        <v>70670823.959999993</v>
      </c>
      <c r="V56" s="601">
        <f>U56-W56-X56</f>
        <v>64469323.959999993</v>
      </c>
      <c r="W56" s="593"/>
      <c r="X56" s="593">
        <v>6201500</v>
      </c>
      <c r="Y56" s="600">
        <f t="shared" si="147"/>
        <v>1209143.04</v>
      </c>
      <c r="Z56" s="593">
        <f t="shared" si="148"/>
        <v>1209143.04</v>
      </c>
      <c r="AA56" s="593"/>
      <c r="AB56" s="593"/>
      <c r="AC56" s="599">
        <f>AD56+AE56+AF56</f>
        <v>71879967</v>
      </c>
      <c r="AD56" s="601">
        <f t="shared" si="150"/>
        <v>65678467</v>
      </c>
      <c r="AE56" s="593">
        <f t="shared" si="151"/>
        <v>0</v>
      </c>
      <c r="AF56" s="593">
        <f t="shared" si="151"/>
        <v>6201500</v>
      </c>
      <c r="AG56" s="602">
        <f>ROUND(AD56*1.302,2)</f>
        <v>85513364.030000001</v>
      </c>
      <c r="AH56" s="593"/>
      <c r="AI56" s="1090"/>
      <c r="AJ56" s="1094"/>
      <c r="AK56" s="1094"/>
      <c r="AL56" s="609">
        <v>22265.54</v>
      </c>
      <c r="AM56" s="604">
        <f t="shared" si="32"/>
        <v>15744.05</v>
      </c>
      <c r="AN56" s="1233"/>
      <c r="AO56" s="595">
        <v>264.5</v>
      </c>
      <c r="AP56" s="595">
        <v>6.4</v>
      </c>
      <c r="AQ56" s="599">
        <f t="shared" si="164"/>
        <v>71879967.040000007</v>
      </c>
      <c r="AR56" s="584">
        <f t="shared" si="34"/>
        <v>70670824</v>
      </c>
      <c r="AS56" s="593">
        <f t="shared" si="152"/>
        <v>64469324</v>
      </c>
      <c r="AT56" s="593">
        <f t="shared" si="165"/>
        <v>0</v>
      </c>
      <c r="AU56" s="593">
        <f>X56</f>
        <v>6201500</v>
      </c>
      <c r="AV56" s="584">
        <f t="shared" si="154"/>
        <v>1209143.04</v>
      </c>
      <c r="AW56" s="593">
        <f t="shared" si="155"/>
        <v>1209143.04</v>
      </c>
      <c r="AX56" s="593">
        <f t="shared" si="156"/>
        <v>0</v>
      </c>
      <c r="AY56" s="593">
        <f t="shared" si="156"/>
        <v>0</v>
      </c>
      <c r="AZ56" s="605">
        <f t="shared" si="166"/>
        <v>0</v>
      </c>
      <c r="BA56" s="605">
        <f>AY56+AU56</f>
        <v>6201500</v>
      </c>
      <c r="BB56" s="606">
        <f t="shared" si="158"/>
        <v>65678467.039999999</v>
      </c>
      <c r="BC56" s="602">
        <f t="shared" si="167"/>
        <v>85513364.099999994</v>
      </c>
      <c r="BD56" s="602"/>
      <c r="BE56" s="593"/>
      <c r="BF56" s="603"/>
      <c r="BG56" s="597"/>
      <c r="BH56" s="870"/>
      <c r="BI56" s="870"/>
    </row>
    <row r="57" spans="1:61" s="583" customFormat="1">
      <c r="A57" s="593">
        <v>4</v>
      </c>
      <c r="B57" s="607" t="s">
        <v>77</v>
      </c>
      <c r="C57" s="595">
        <v>15.5</v>
      </c>
      <c r="D57" s="595"/>
      <c r="E57" s="593">
        <v>3057</v>
      </c>
      <c r="F57" s="593"/>
      <c r="G57" s="610">
        <v>16435.48</v>
      </c>
      <c r="H57" s="584">
        <f t="shared" si="159"/>
        <v>3057</v>
      </c>
      <c r="I57" s="593">
        <f t="shared" si="143"/>
        <v>3057</v>
      </c>
      <c r="J57" s="593"/>
      <c r="K57" s="593"/>
      <c r="L57" s="545">
        <f t="shared" si="144"/>
        <v>0</v>
      </c>
      <c r="M57" s="11">
        <f t="shared" si="160"/>
        <v>0</v>
      </c>
      <c r="N57" s="593"/>
      <c r="O57" s="861">
        <f t="shared" si="161"/>
        <v>-1</v>
      </c>
      <c r="P57" s="598">
        <v>14.5</v>
      </c>
      <c r="Q57" s="595">
        <v>0</v>
      </c>
      <c r="R57" s="610">
        <v>16435.48</v>
      </c>
      <c r="S57" s="596"/>
      <c r="T57" s="599">
        <f t="shared" si="162"/>
        <v>2859773.52</v>
      </c>
      <c r="U57" s="600">
        <f t="shared" si="145"/>
        <v>2859773.52</v>
      </c>
      <c r="V57" s="601">
        <f t="shared" si="146"/>
        <v>2859773.52</v>
      </c>
      <c r="W57" s="593"/>
      <c r="X57" s="593">
        <v>0</v>
      </c>
      <c r="Y57" s="600">
        <f t="shared" si="147"/>
        <v>0</v>
      </c>
      <c r="Z57" s="593">
        <f t="shared" si="148"/>
        <v>0</v>
      </c>
      <c r="AA57" s="593"/>
      <c r="AB57" s="593"/>
      <c r="AC57" s="599">
        <f t="shared" si="149"/>
        <v>2859773.52</v>
      </c>
      <c r="AD57" s="601">
        <f t="shared" si="150"/>
        <v>2859773.52</v>
      </c>
      <c r="AE57" s="593">
        <f t="shared" si="151"/>
        <v>0</v>
      </c>
      <c r="AF57" s="593">
        <f t="shared" si="151"/>
        <v>0</v>
      </c>
      <c r="AG57" s="602">
        <f t="shared" si="163"/>
        <v>3723425.12</v>
      </c>
      <c r="AH57" s="593"/>
      <c r="AI57" s="1090"/>
      <c r="AJ57" s="1094"/>
      <c r="AK57" s="1094"/>
      <c r="AL57" s="611">
        <v>16435.48</v>
      </c>
      <c r="AM57" s="604">
        <f t="shared" si="32"/>
        <v>0</v>
      </c>
      <c r="AN57" s="1233"/>
      <c r="AO57" s="595">
        <v>14.5</v>
      </c>
      <c r="AP57" s="595">
        <v>0</v>
      </c>
      <c r="AQ57" s="599">
        <f t="shared" si="164"/>
        <v>2859773.5</v>
      </c>
      <c r="AR57" s="584">
        <f t="shared" si="34"/>
        <v>2859773.5</v>
      </c>
      <c r="AS57" s="593">
        <f t="shared" si="152"/>
        <v>2859773.5</v>
      </c>
      <c r="AT57" s="593">
        <f t="shared" si="165"/>
        <v>0</v>
      </c>
      <c r="AU57" s="593">
        <f t="shared" si="153"/>
        <v>0</v>
      </c>
      <c r="AV57" s="584">
        <f t="shared" si="154"/>
        <v>0</v>
      </c>
      <c r="AW57" s="593">
        <f t="shared" si="155"/>
        <v>0</v>
      </c>
      <c r="AX57" s="593">
        <f t="shared" si="156"/>
        <v>0</v>
      </c>
      <c r="AY57" s="593">
        <f t="shared" si="156"/>
        <v>0</v>
      </c>
      <c r="AZ57" s="605">
        <f t="shared" si="166"/>
        <v>0</v>
      </c>
      <c r="BA57" s="605">
        <f t="shared" si="157"/>
        <v>0</v>
      </c>
      <c r="BB57" s="606">
        <f t="shared" si="158"/>
        <v>2859773.5</v>
      </c>
      <c r="BC57" s="602">
        <f t="shared" si="167"/>
        <v>3723425.1</v>
      </c>
      <c r="BD57" s="602"/>
      <c r="BE57" s="593"/>
      <c r="BF57" s="603"/>
      <c r="BG57" s="597"/>
      <c r="BH57" s="870"/>
      <c r="BI57" s="870"/>
    </row>
    <row r="58" spans="1:61" s="583" customFormat="1">
      <c r="A58" s="593">
        <v>5</v>
      </c>
      <c r="B58" s="594" t="s">
        <v>73</v>
      </c>
      <c r="C58" s="595"/>
      <c r="D58" s="595"/>
      <c r="E58" s="593"/>
      <c r="F58" s="593"/>
      <c r="G58" s="596"/>
      <c r="H58" s="584">
        <f t="shared" si="159"/>
        <v>0</v>
      </c>
      <c r="I58" s="593">
        <f t="shared" si="143"/>
        <v>0</v>
      </c>
      <c r="J58" s="593"/>
      <c r="K58" s="593"/>
      <c r="L58" s="545">
        <f t="shared" si="144"/>
        <v>0</v>
      </c>
      <c r="M58" s="11">
        <f t="shared" si="160"/>
        <v>0</v>
      </c>
      <c r="N58" s="593"/>
      <c r="O58" s="861">
        <f t="shared" si="161"/>
        <v>0</v>
      </c>
      <c r="P58" s="598">
        <v>0</v>
      </c>
      <c r="Q58" s="595">
        <v>0</v>
      </c>
      <c r="R58" s="596"/>
      <c r="S58" s="596"/>
      <c r="T58" s="599">
        <f t="shared" si="162"/>
        <v>0</v>
      </c>
      <c r="U58" s="600">
        <f t="shared" si="145"/>
        <v>0</v>
      </c>
      <c r="V58" s="601">
        <f t="shared" si="146"/>
        <v>0</v>
      </c>
      <c r="W58" s="593"/>
      <c r="X58" s="593">
        <v>0</v>
      </c>
      <c r="Y58" s="600">
        <f t="shared" si="147"/>
        <v>0</v>
      </c>
      <c r="Z58" s="593">
        <f t="shared" si="148"/>
        <v>0</v>
      </c>
      <c r="AA58" s="593"/>
      <c r="AB58" s="593"/>
      <c r="AC58" s="599">
        <f t="shared" si="149"/>
        <v>0</v>
      </c>
      <c r="AD58" s="601">
        <f t="shared" si="150"/>
        <v>0</v>
      </c>
      <c r="AE58" s="593">
        <f t="shared" si="151"/>
        <v>0</v>
      </c>
      <c r="AF58" s="593">
        <f t="shared" si="151"/>
        <v>0</v>
      </c>
      <c r="AG58" s="602">
        <f t="shared" si="163"/>
        <v>0</v>
      </c>
      <c r="AH58" s="593"/>
      <c r="AI58" s="1090"/>
      <c r="AJ58" s="1094"/>
      <c r="AK58" s="1094"/>
      <c r="AL58" s="604"/>
      <c r="AM58" s="596">
        <f t="shared" si="32"/>
        <v>0</v>
      </c>
      <c r="AN58" s="1233"/>
      <c r="AO58" s="595">
        <v>0</v>
      </c>
      <c r="AP58" s="595">
        <v>0</v>
      </c>
      <c r="AQ58" s="599">
        <f t="shared" si="164"/>
        <v>0</v>
      </c>
      <c r="AR58" s="584">
        <f t="shared" si="34"/>
        <v>0</v>
      </c>
      <c r="AS58" s="593">
        <f t="shared" si="152"/>
        <v>0</v>
      </c>
      <c r="AT58" s="593">
        <f t="shared" si="165"/>
        <v>0</v>
      </c>
      <c r="AU58" s="593">
        <f t="shared" si="153"/>
        <v>0</v>
      </c>
      <c r="AV58" s="584">
        <f t="shared" si="154"/>
        <v>0</v>
      </c>
      <c r="AW58" s="593">
        <f t="shared" si="155"/>
        <v>0</v>
      </c>
      <c r="AX58" s="593">
        <f t="shared" si="156"/>
        <v>0</v>
      </c>
      <c r="AY58" s="593">
        <f t="shared" si="156"/>
        <v>0</v>
      </c>
      <c r="AZ58" s="605">
        <f t="shared" si="166"/>
        <v>0</v>
      </c>
      <c r="BA58" s="605">
        <f t="shared" si="157"/>
        <v>0</v>
      </c>
      <c r="BB58" s="606">
        <f t="shared" si="158"/>
        <v>0</v>
      </c>
      <c r="BC58" s="602">
        <f t="shared" si="167"/>
        <v>0</v>
      </c>
      <c r="BD58" s="602"/>
      <c r="BE58" s="593"/>
      <c r="BF58" s="603"/>
      <c r="BG58" s="597"/>
      <c r="BH58" s="870"/>
      <c r="BI58" s="870"/>
    </row>
    <row r="59" spans="1:61" s="583" customFormat="1">
      <c r="A59" s="593">
        <v>6</v>
      </c>
      <c r="B59" s="594" t="s">
        <v>74</v>
      </c>
      <c r="C59" s="595"/>
      <c r="D59" s="595"/>
      <c r="E59" s="593"/>
      <c r="F59" s="593"/>
      <c r="G59" s="596"/>
      <c r="H59" s="584">
        <f t="shared" si="159"/>
        <v>0</v>
      </c>
      <c r="I59" s="593">
        <f t="shared" si="143"/>
        <v>0</v>
      </c>
      <c r="J59" s="593"/>
      <c r="K59" s="593"/>
      <c r="L59" s="545">
        <f t="shared" si="144"/>
        <v>0</v>
      </c>
      <c r="M59" s="11">
        <f t="shared" si="160"/>
        <v>0</v>
      </c>
      <c r="N59" s="593"/>
      <c r="O59" s="861">
        <f t="shared" si="161"/>
        <v>0</v>
      </c>
      <c r="P59" s="598">
        <v>0</v>
      </c>
      <c r="Q59" s="595">
        <v>0</v>
      </c>
      <c r="R59" s="596"/>
      <c r="S59" s="596"/>
      <c r="T59" s="599">
        <f t="shared" si="162"/>
        <v>0</v>
      </c>
      <c r="U59" s="600">
        <f t="shared" si="145"/>
        <v>0</v>
      </c>
      <c r="V59" s="601">
        <f t="shared" si="146"/>
        <v>0</v>
      </c>
      <c r="W59" s="593"/>
      <c r="X59" s="593">
        <v>0</v>
      </c>
      <c r="Y59" s="600">
        <f t="shared" si="147"/>
        <v>0</v>
      </c>
      <c r="Z59" s="593">
        <f t="shared" si="148"/>
        <v>0</v>
      </c>
      <c r="AA59" s="593"/>
      <c r="AB59" s="593"/>
      <c r="AC59" s="599">
        <f t="shared" si="149"/>
        <v>0</v>
      </c>
      <c r="AD59" s="601">
        <f t="shared" si="150"/>
        <v>0</v>
      </c>
      <c r="AE59" s="593">
        <f t="shared" si="151"/>
        <v>0</v>
      </c>
      <c r="AF59" s="593">
        <f t="shared" si="151"/>
        <v>0</v>
      </c>
      <c r="AG59" s="602">
        <f t="shared" si="163"/>
        <v>0</v>
      </c>
      <c r="AH59" s="593"/>
      <c r="AI59" s="1090"/>
      <c r="AJ59" s="1094"/>
      <c r="AK59" s="1094"/>
      <c r="AL59" s="604"/>
      <c r="AM59" s="596">
        <f t="shared" si="32"/>
        <v>0</v>
      </c>
      <c r="AN59" s="1233"/>
      <c r="AO59" s="595">
        <v>0</v>
      </c>
      <c r="AP59" s="595">
        <v>0</v>
      </c>
      <c r="AQ59" s="599">
        <f t="shared" si="164"/>
        <v>0</v>
      </c>
      <c r="AR59" s="584">
        <f t="shared" si="34"/>
        <v>0</v>
      </c>
      <c r="AS59" s="593">
        <f t="shared" si="152"/>
        <v>0</v>
      </c>
      <c r="AT59" s="593">
        <f t="shared" si="165"/>
        <v>0</v>
      </c>
      <c r="AU59" s="593">
        <f t="shared" si="153"/>
        <v>0</v>
      </c>
      <c r="AV59" s="584">
        <f t="shared" si="154"/>
        <v>0</v>
      </c>
      <c r="AW59" s="593">
        <f t="shared" si="155"/>
        <v>0</v>
      </c>
      <c r="AX59" s="593">
        <f t="shared" si="156"/>
        <v>0</v>
      </c>
      <c r="AY59" s="593">
        <f t="shared" si="156"/>
        <v>0</v>
      </c>
      <c r="AZ59" s="605">
        <f t="shared" si="166"/>
        <v>0</v>
      </c>
      <c r="BA59" s="605">
        <f t="shared" si="157"/>
        <v>0</v>
      </c>
      <c r="BB59" s="606">
        <f t="shared" si="158"/>
        <v>0</v>
      </c>
      <c r="BC59" s="602">
        <f t="shared" si="167"/>
        <v>0</v>
      </c>
      <c r="BD59" s="602"/>
      <c r="BE59" s="593"/>
      <c r="BF59" s="603"/>
      <c r="BG59" s="597"/>
      <c r="BH59" s="870"/>
      <c r="BI59" s="870"/>
    </row>
    <row r="60" spans="1:61" s="583" customFormat="1">
      <c r="A60" s="593">
        <v>7</v>
      </c>
      <c r="B60" s="1131" t="s">
        <v>814</v>
      </c>
      <c r="C60" s="595">
        <v>221.1</v>
      </c>
      <c r="D60" s="595">
        <v>2.7</v>
      </c>
      <c r="E60" s="593">
        <v>23253.9</v>
      </c>
      <c r="F60" s="593">
        <v>271.89999999999998</v>
      </c>
      <c r="G60" s="596">
        <v>8764.4699999999993</v>
      </c>
      <c r="H60" s="584">
        <f t="shared" si="159"/>
        <v>23253.9</v>
      </c>
      <c r="I60" s="593">
        <f t="shared" si="143"/>
        <v>23253.9</v>
      </c>
      <c r="J60" s="593"/>
      <c r="K60" s="593">
        <f>'[3]Смарт 2015'!G72</f>
        <v>0</v>
      </c>
      <c r="L60" s="545">
        <f t="shared" si="144"/>
        <v>271.89999999999998</v>
      </c>
      <c r="M60" s="11">
        <f t="shared" si="160"/>
        <v>271.89999999999998</v>
      </c>
      <c r="N60" s="593"/>
      <c r="O60" s="861">
        <f t="shared" si="161"/>
        <v>0.70000000000001705</v>
      </c>
      <c r="P60" s="598">
        <v>221.8</v>
      </c>
      <c r="Q60" s="595">
        <v>2.7</v>
      </c>
      <c r="R60" s="596">
        <v>8764.4699999999993</v>
      </c>
      <c r="S60" s="596">
        <f>ROUND(F60/D60/12*1000,2)</f>
        <v>8391.98</v>
      </c>
      <c r="T60" s="599">
        <f t="shared" si="162"/>
        <v>23599413.5</v>
      </c>
      <c r="U60" s="600">
        <f t="shared" si="145"/>
        <v>23327513.350000001</v>
      </c>
      <c r="V60" s="601">
        <f t="shared" si="146"/>
        <v>23327513.350000001</v>
      </c>
      <c r="W60" s="593"/>
      <c r="X60" s="593">
        <v>0</v>
      </c>
      <c r="Y60" s="600">
        <f t="shared" si="147"/>
        <v>271900.15000000002</v>
      </c>
      <c r="Z60" s="593">
        <f t="shared" si="148"/>
        <v>271900.15000000002</v>
      </c>
      <c r="AA60" s="593"/>
      <c r="AB60" s="593"/>
      <c r="AC60" s="599">
        <f t="shared" si="149"/>
        <v>23599413.5</v>
      </c>
      <c r="AD60" s="601">
        <f t="shared" si="150"/>
        <v>23599413.5</v>
      </c>
      <c r="AE60" s="593">
        <f t="shared" si="151"/>
        <v>0</v>
      </c>
      <c r="AF60" s="593">
        <f t="shared" si="151"/>
        <v>0</v>
      </c>
      <c r="AG60" s="602">
        <f t="shared" si="163"/>
        <v>30726436.379999999</v>
      </c>
      <c r="AH60" s="593"/>
      <c r="AI60" s="1090"/>
      <c r="AJ60" s="1094"/>
      <c r="AK60" s="1094"/>
      <c r="AL60" s="604">
        <v>8764.4699999999993</v>
      </c>
      <c r="AM60" s="596">
        <f t="shared" si="32"/>
        <v>8391.98</v>
      </c>
      <c r="AN60" s="1233"/>
      <c r="AO60" s="595">
        <v>221.8</v>
      </c>
      <c r="AP60" s="595">
        <v>2.7</v>
      </c>
      <c r="AQ60" s="599">
        <f t="shared" si="164"/>
        <v>23599413.549999997</v>
      </c>
      <c r="AR60" s="584">
        <f t="shared" si="34"/>
        <v>23327513.399999999</v>
      </c>
      <c r="AS60" s="593">
        <f t="shared" si="152"/>
        <v>23327513.399999999</v>
      </c>
      <c r="AT60" s="593">
        <f t="shared" si="165"/>
        <v>0</v>
      </c>
      <c r="AU60" s="593">
        <f t="shared" si="153"/>
        <v>0</v>
      </c>
      <c r="AV60" s="584">
        <f t="shared" si="154"/>
        <v>271900.15000000002</v>
      </c>
      <c r="AW60" s="593">
        <f t="shared" si="155"/>
        <v>271900.15000000002</v>
      </c>
      <c r="AX60" s="593">
        <f t="shared" si="156"/>
        <v>0</v>
      </c>
      <c r="AY60" s="593">
        <f t="shared" si="156"/>
        <v>0</v>
      </c>
      <c r="AZ60" s="605">
        <f t="shared" si="166"/>
        <v>0</v>
      </c>
      <c r="BA60" s="605">
        <f t="shared" si="157"/>
        <v>0</v>
      </c>
      <c r="BB60" s="606">
        <f t="shared" si="158"/>
        <v>23599413.549999997</v>
      </c>
      <c r="BC60" s="602">
        <f t="shared" si="167"/>
        <v>30726436.399999999</v>
      </c>
      <c r="BD60" s="602"/>
      <c r="BE60" s="593"/>
      <c r="BF60" s="603"/>
      <c r="BG60" s="597"/>
      <c r="BH60" s="870"/>
      <c r="BI60" s="870"/>
    </row>
    <row r="61" spans="1:61" s="583" customFormat="1">
      <c r="A61" s="871"/>
      <c r="B61" s="1132" t="s">
        <v>815</v>
      </c>
      <c r="C61" s="1147"/>
      <c r="D61" s="1147"/>
      <c r="E61" s="871"/>
      <c r="F61" s="871"/>
      <c r="G61" s="1148"/>
      <c r="H61" s="1149"/>
      <c r="I61" s="871"/>
      <c r="J61" s="871"/>
      <c r="K61" s="871"/>
      <c r="L61" s="545"/>
      <c r="M61" s="11"/>
      <c r="N61" s="871"/>
      <c r="O61" s="861"/>
      <c r="P61" s="1147"/>
      <c r="Q61" s="1147"/>
      <c r="R61" s="1148"/>
      <c r="S61" s="1148"/>
      <c r="T61" s="1150"/>
      <c r="U61" s="1151"/>
      <c r="V61" s="1152"/>
      <c r="W61" s="871"/>
      <c r="X61" s="871"/>
      <c r="Y61" s="1151"/>
      <c r="Z61" s="871"/>
      <c r="AA61" s="871"/>
      <c r="AB61" s="871"/>
      <c r="AC61" s="1150"/>
      <c r="AD61" s="1152"/>
      <c r="AE61" s="871"/>
      <c r="AF61" s="871"/>
      <c r="AG61" s="1153"/>
      <c r="AH61" s="871"/>
      <c r="AI61" s="1154"/>
      <c r="AJ61" s="1094"/>
      <c r="AK61" s="1094"/>
      <c r="AL61" s="1148"/>
      <c r="AM61" s="1148"/>
      <c r="AN61" s="1233">
        <f>AO61-P61</f>
        <v>0</v>
      </c>
      <c r="AO61" s="1147"/>
      <c r="AP61" s="1147"/>
      <c r="AQ61" s="1150"/>
      <c r="AR61" s="1149"/>
      <c r="AS61" s="871"/>
      <c r="AT61" s="871"/>
      <c r="AU61" s="871"/>
      <c r="AV61" s="1149"/>
      <c r="AW61" s="871"/>
      <c r="AX61" s="871"/>
      <c r="AY61" s="871"/>
      <c r="AZ61" s="1155"/>
      <c r="BA61" s="1155"/>
      <c r="BB61" s="1156"/>
      <c r="BC61" s="1153"/>
      <c r="BD61" s="1153"/>
      <c r="BE61" s="871"/>
      <c r="BF61" s="1154"/>
      <c r="BG61" s="871"/>
      <c r="BH61" s="1157"/>
      <c r="BI61" s="870"/>
    </row>
    <row r="62" spans="1:61" ht="19.149999999999999" customHeight="1">
      <c r="A62" s="545">
        <v>6</v>
      </c>
      <c r="B62" s="426" t="s">
        <v>90</v>
      </c>
      <c r="C62" s="545">
        <f>C63+C64+C65+C66+C67+C68+C69</f>
        <v>532.70000000000005</v>
      </c>
      <c r="D62" s="545">
        <f t="shared" ref="D62:AG62" si="168">D63+D64+D65+D66+D67+D68+D69</f>
        <v>11</v>
      </c>
      <c r="E62" s="545">
        <f>SUM(E63:E69)</f>
        <v>100696.29999999999</v>
      </c>
      <c r="F62" s="545">
        <f t="shared" si="168"/>
        <v>1721.3</v>
      </c>
      <c r="G62" s="558">
        <v>15752.98</v>
      </c>
      <c r="H62" s="545">
        <f t="shared" si="168"/>
        <v>100696.29999999999</v>
      </c>
      <c r="I62" s="545">
        <f t="shared" si="168"/>
        <v>97411.299999999988</v>
      </c>
      <c r="J62" s="545">
        <f t="shared" si="168"/>
        <v>0</v>
      </c>
      <c r="K62" s="545">
        <f t="shared" si="168"/>
        <v>3285</v>
      </c>
      <c r="L62" s="545">
        <f t="shared" si="168"/>
        <v>1721.3</v>
      </c>
      <c r="M62" s="545">
        <f t="shared" si="168"/>
        <v>1721.3</v>
      </c>
      <c r="N62" s="545">
        <f t="shared" si="168"/>
        <v>0</v>
      </c>
      <c r="O62" s="559">
        <f t="shared" si="168"/>
        <v>0</v>
      </c>
      <c r="P62" s="560">
        <f t="shared" si="168"/>
        <v>532.70000000000005</v>
      </c>
      <c r="Q62" s="545">
        <f t="shared" si="168"/>
        <v>11</v>
      </c>
      <c r="R62" s="558">
        <v>15752.98</v>
      </c>
      <c r="S62" s="558"/>
      <c r="T62" s="673">
        <f>SUM(T63:T69)</f>
        <v>103284268.53999999</v>
      </c>
      <c r="U62" s="673">
        <f t="shared" ref="U62:AB62" si="169">U63+U64+U65+U66+U67+U68+U69</f>
        <v>101562968.44999999</v>
      </c>
      <c r="V62" s="673">
        <f t="shared" si="169"/>
        <v>98277968.450000003</v>
      </c>
      <c r="W62" s="545">
        <f t="shared" si="169"/>
        <v>0</v>
      </c>
      <c r="X62" s="673">
        <f t="shared" si="169"/>
        <v>3285000</v>
      </c>
      <c r="Y62" s="673">
        <f t="shared" si="169"/>
        <v>1721300.0899999999</v>
      </c>
      <c r="Z62" s="673">
        <f t="shared" si="169"/>
        <v>1721300.0899999999</v>
      </c>
      <c r="AA62" s="545">
        <f t="shared" si="169"/>
        <v>0</v>
      </c>
      <c r="AB62" s="545">
        <f t="shared" si="169"/>
        <v>0</v>
      </c>
      <c r="AC62" s="673">
        <f t="shared" si="168"/>
        <v>103284268.53999999</v>
      </c>
      <c r="AD62" s="673">
        <f t="shared" si="168"/>
        <v>99999268.539999992</v>
      </c>
      <c r="AE62" s="545">
        <f t="shared" si="168"/>
        <v>0</v>
      </c>
      <c r="AF62" s="673">
        <f t="shared" si="168"/>
        <v>3285000</v>
      </c>
      <c r="AG62" s="673">
        <f t="shared" si="168"/>
        <v>130199047.64000002</v>
      </c>
      <c r="AH62" s="558">
        <v>6065300</v>
      </c>
      <c r="AI62" s="1086">
        <v>136244368.30000001</v>
      </c>
      <c r="AJ62" s="765">
        <f>AH62+AG62</f>
        <v>136264347.64000002</v>
      </c>
      <c r="AK62" s="876">
        <f>AJ62-AI62</f>
        <v>19979.340000003576</v>
      </c>
      <c r="AL62" s="563">
        <v>15752.98</v>
      </c>
      <c r="AM62" s="563">
        <f t="shared" si="32"/>
        <v>0</v>
      </c>
      <c r="AN62" s="545">
        <f>AN63+AN64+AN65+AN66+AN67+AN68+AN69</f>
        <v>0</v>
      </c>
      <c r="AO62" s="545">
        <f>AO63+AO64+AO65+AO66+AO67+AO68+AO69</f>
        <v>532.70000000000005</v>
      </c>
      <c r="AP62" s="545">
        <f t="shared" ref="AP62:BC62" si="170">AP63+AP64+AP65+AP66+AP67+AP68+AP69</f>
        <v>11</v>
      </c>
      <c r="AQ62" s="673">
        <f>SUM(AQ63:AQ69)</f>
        <v>102417621.88999999</v>
      </c>
      <c r="AR62" s="673">
        <f t="shared" si="34"/>
        <v>100699349.40000001</v>
      </c>
      <c r="AS62" s="673">
        <f t="shared" si="170"/>
        <v>97411321.799999997</v>
      </c>
      <c r="AT62" s="545">
        <f t="shared" si="170"/>
        <v>0</v>
      </c>
      <c r="AU62" s="673">
        <f t="shared" si="170"/>
        <v>3285000</v>
      </c>
      <c r="AV62" s="545">
        <f t="shared" si="154"/>
        <v>0</v>
      </c>
      <c r="AW62" s="673">
        <f>AW63+AW64+AW65+AW66+AW67+AW68+AW69</f>
        <v>1721300.0899999999</v>
      </c>
      <c r="AX62" s="545">
        <f t="shared" si="170"/>
        <v>0</v>
      </c>
      <c r="AY62" s="545">
        <f t="shared" si="170"/>
        <v>0</v>
      </c>
      <c r="AZ62" s="545">
        <f t="shared" si="170"/>
        <v>0</v>
      </c>
      <c r="BA62" s="673">
        <f t="shared" si="170"/>
        <v>3285000</v>
      </c>
      <c r="BB62" s="673">
        <f t="shared" si="170"/>
        <v>99132621.889999986</v>
      </c>
      <c r="BC62" s="673">
        <f t="shared" si="170"/>
        <v>129070673.80000001</v>
      </c>
      <c r="BD62" s="558">
        <v>7173694.6900000004</v>
      </c>
      <c r="BE62" s="564">
        <f>BD62+BC62</f>
        <v>136244368.49000001</v>
      </c>
      <c r="BF62" s="562">
        <v>136244368.30000001</v>
      </c>
      <c r="BG62" s="865">
        <f>BE62-BF62</f>
        <v>0.18999999761581421</v>
      </c>
      <c r="BH62" s="875">
        <f>AG62+AH62</f>
        <v>136264347.64000002</v>
      </c>
      <c r="BI62" s="876">
        <f>BH62-AI62</f>
        <v>19979.340000003576</v>
      </c>
    </row>
    <row r="63" spans="1:61">
      <c r="A63" s="11">
        <v>1</v>
      </c>
      <c r="B63" s="13" t="s">
        <v>71</v>
      </c>
      <c r="C63" s="17">
        <v>8</v>
      </c>
      <c r="D63" s="17"/>
      <c r="E63" s="11">
        <v>2697.4</v>
      </c>
      <c r="F63" s="11"/>
      <c r="G63" s="555">
        <v>28097.919999999998</v>
      </c>
      <c r="H63" s="545">
        <f>I63+J63+K63</f>
        <v>2697.4</v>
      </c>
      <c r="I63" s="11">
        <f t="shared" ref="I63:I69" si="171">E63-K63-J63</f>
        <v>2548.4</v>
      </c>
      <c r="J63" s="11"/>
      <c r="K63" s="11">
        <v>149</v>
      </c>
      <c r="L63" s="545">
        <f t="shared" ref="L63:L69" si="172">M63+N63</f>
        <v>0</v>
      </c>
      <c r="M63" s="11">
        <f>F63-N63</f>
        <v>0</v>
      </c>
      <c r="N63" s="11"/>
      <c r="O63" s="861">
        <f>P63-C63</f>
        <v>0</v>
      </c>
      <c r="P63" s="444">
        <v>8</v>
      </c>
      <c r="Q63" s="17"/>
      <c r="R63" s="878">
        <f>28097.92+3862.08</f>
        <v>31960</v>
      </c>
      <c r="S63" s="555"/>
      <c r="T63" s="554">
        <f>U63+Y63</f>
        <v>3068160</v>
      </c>
      <c r="U63" s="674">
        <f t="shared" ref="U63:U69" si="173">ROUND(R63*P63*12,2)</f>
        <v>3068160</v>
      </c>
      <c r="V63" s="433">
        <f t="shared" ref="V63:V69" si="174">U63-W63-X63</f>
        <v>2919160</v>
      </c>
      <c r="W63" s="11"/>
      <c r="X63" s="675">
        <v>149000</v>
      </c>
      <c r="Y63" s="556">
        <f t="shared" ref="Y63:Y69" si="175">ROUND(S63*Q63*12,2)</f>
        <v>0</v>
      </c>
      <c r="Z63" s="11">
        <f t="shared" ref="Z63:Z69" si="176">Y63-AA63-AB63</f>
        <v>0</v>
      </c>
      <c r="AA63" s="11"/>
      <c r="AB63" s="11">
        <v>0</v>
      </c>
      <c r="AC63" s="554">
        <f t="shared" ref="AC63:AC69" si="177">AD63+AE63+AF63</f>
        <v>3068160</v>
      </c>
      <c r="AD63" s="433">
        <f t="shared" ref="AD63:AD69" si="178">ROUND((Z63+V63),2)</f>
        <v>2919160</v>
      </c>
      <c r="AE63" s="11">
        <f t="shared" ref="AE63:AF69" si="179">AA63+W63</f>
        <v>0</v>
      </c>
      <c r="AF63" s="675">
        <f t="shared" si="179"/>
        <v>149000</v>
      </c>
      <c r="AG63" s="676">
        <f t="shared" ref="AG63:AG69" si="180">ROUND(AD63*1.302,2)</f>
        <v>3800746.32</v>
      </c>
      <c r="AH63" s="765">
        <v>6065300</v>
      </c>
      <c r="AI63" s="1084"/>
      <c r="AJ63" s="850"/>
      <c r="AK63" s="850"/>
      <c r="AL63" s="557">
        <v>28097.919999999998</v>
      </c>
      <c r="AM63" s="557">
        <f t="shared" si="32"/>
        <v>0</v>
      </c>
      <c r="AN63" s="1233">
        <f>AO63-P63</f>
        <v>0</v>
      </c>
      <c r="AO63" s="444">
        <v>8</v>
      </c>
      <c r="AP63" s="17"/>
      <c r="AQ63" s="674">
        <f>AR63+AV63</f>
        <v>2697400.3</v>
      </c>
      <c r="AR63" s="673">
        <f t="shared" si="34"/>
        <v>2697400.3</v>
      </c>
      <c r="AS63" s="675">
        <f t="shared" ref="AS63:AS69" si="181">AR63-AT63-AU63</f>
        <v>2548400.2999999998</v>
      </c>
      <c r="AT63" s="11">
        <f>W63</f>
        <v>0</v>
      </c>
      <c r="AU63" s="675">
        <f t="shared" ref="AU63:AU69" si="182">X63</f>
        <v>149000</v>
      </c>
      <c r="AV63" s="545">
        <f t="shared" si="154"/>
        <v>0</v>
      </c>
      <c r="AW63" s="675">
        <f t="shared" ref="AW63:AW69" si="183">AV63-AX63-AY63</f>
        <v>0</v>
      </c>
      <c r="AX63" s="11">
        <f t="shared" ref="AX63:AY69" si="184">AA63</f>
        <v>0</v>
      </c>
      <c r="AY63" s="11">
        <f t="shared" si="184"/>
        <v>0</v>
      </c>
      <c r="AZ63" s="18">
        <f>AX63+AT63</f>
        <v>0</v>
      </c>
      <c r="BA63" s="677">
        <f t="shared" ref="BA63:BA69" si="185">AY63+AU63</f>
        <v>149000</v>
      </c>
      <c r="BB63" s="678">
        <f>AW63+AS63</f>
        <v>2548400.2999999998</v>
      </c>
      <c r="BC63" s="676">
        <f>ROUND(BB63*1.302,1)</f>
        <v>3318017.2</v>
      </c>
      <c r="BD63" s="544"/>
      <c r="BE63" s="11"/>
      <c r="BF63" s="445"/>
      <c r="BG63" s="439"/>
      <c r="BH63" s="439"/>
      <c r="BI63" s="11"/>
    </row>
    <row r="64" spans="1:61">
      <c r="A64" s="11">
        <v>2</v>
      </c>
      <c r="B64" s="13" t="s">
        <v>72</v>
      </c>
      <c r="C64" s="17">
        <v>33</v>
      </c>
      <c r="D64" s="17">
        <v>0.3</v>
      </c>
      <c r="E64" s="11">
        <v>9092.5</v>
      </c>
      <c r="F64" s="11">
        <v>45.6</v>
      </c>
      <c r="G64" s="555">
        <v>22960.86</v>
      </c>
      <c r="H64" s="545">
        <f t="shared" ref="H64:H69" si="186">I64+J64+K64</f>
        <v>9092.5</v>
      </c>
      <c r="I64" s="11">
        <f t="shared" si="171"/>
        <v>8692.7000000000007</v>
      </c>
      <c r="J64" s="11"/>
      <c r="K64" s="11">
        <v>399.8</v>
      </c>
      <c r="L64" s="545">
        <f t="shared" si="172"/>
        <v>45.6</v>
      </c>
      <c r="M64" s="11">
        <f t="shared" ref="M64:M69" si="187">F64-N64</f>
        <v>45.6</v>
      </c>
      <c r="N64" s="11"/>
      <c r="O64" s="861">
        <f t="shared" ref="O64:O69" si="188">P64-C64</f>
        <v>0</v>
      </c>
      <c r="P64" s="444">
        <v>33</v>
      </c>
      <c r="Q64" s="17">
        <v>0.3</v>
      </c>
      <c r="R64" s="878">
        <f>22960.86+1252.24</f>
        <v>24213.100000000002</v>
      </c>
      <c r="S64" s="555">
        <f t="shared" ref="S64:S69" si="189">ROUND(F64/D64/12*1000,2)</f>
        <v>12666.67</v>
      </c>
      <c r="T64" s="554">
        <f t="shared" ref="T64:T69" si="190">U64+Y64</f>
        <v>9633987.6099999994</v>
      </c>
      <c r="U64" s="674">
        <f t="shared" si="173"/>
        <v>9588387.5999999996</v>
      </c>
      <c r="V64" s="433">
        <f t="shared" si="174"/>
        <v>9188587.5999999996</v>
      </c>
      <c r="W64" s="11"/>
      <c r="X64" s="675">
        <v>399800</v>
      </c>
      <c r="Y64" s="674">
        <f t="shared" si="175"/>
        <v>45600.01</v>
      </c>
      <c r="Z64" s="675">
        <f t="shared" si="176"/>
        <v>45600.01</v>
      </c>
      <c r="AA64" s="11"/>
      <c r="AB64" s="11">
        <v>0</v>
      </c>
      <c r="AC64" s="554">
        <f t="shared" si="177"/>
        <v>9633987.6099999994</v>
      </c>
      <c r="AD64" s="433">
        <f t="shared" si="178"/>
        <v>9234187.6099999994</v>
      </c>
      <c r="AE64" s="11">
        <f t="shared" si="179"/>
        <v>0</v>
      </c>
      <c r="AF64" s="675">
        <f t="shared" si="179"/>
        <v>399800</v>
      </c>
      <c r="AG64" s="676">
        <f t="shared" si="180"/>
        <v>12022912.27</v>
      </c>
      <c r="AH64" s="11"/>
      <c r="AI64" s="1084"/>
      <c r="AJ64" s="850"/>
      <c r="AK64" s="850"/>
      <c r="AL64" s="557">
        <v>22960.86</v>
      </c>
      <c r="AM64" s="557">
        <f t="shared" si="32"/>
        <v>12666.67</v>
      </c>
      <c r="AN64" s="1233"/>
      <c r="AO64" s="444">
        <v>33</v>
      </c>
      <c r="AP64" s="17">
        <v>0.3</v>
      </c>
      <c r="AQ64" s="674">
        <f t="shared" ref="AQ64:AQ69" si="191">AR64+AV64</f>
        <v>9138100.6099999994</v>
      </c>
      <c r="AR64" s="673">
        <f t="shared" si="34"/>
        <v>9092500.5999999996</v>
      </c>
      <c r="AS64" s="675">
        <f t="shared" si="181"/>
        <v>8692700.5999999996</v>
      </c>
      <c r="AT64" s="11">
        <f t="shared" ref="AT64:AT69" si="192">W64</f>
        <v>0</v>
      </c>
      <c r="AU64" s="675">
        <f t="shared" si="182"/>
        <v>399800</v>
      </c>
      <c r="AV64" s="673">
        <f t="shared" si="154"/>
        <v>45600.01</v>
      </c>
      <c r="AW64" s="675">
        <f t="shared" si="183"/>
        <v>45600.01</v>
      </c>
      <c r="AX64" s="11">
        <f t="shared" si="184"/>
        <v>0</v>
      </c>
      <c r="AY64" s="11">
        <f t="shared" si="184"/>
        <v>0</v>
      </c>
      <c r="AZ64" s="18">
        <f t="shared" ref="AZ64:AZ69" si="193">AX64+AT64</f>
        <v>0</v>
      </c>
      <c r="BA64" s="677">
        <f t="shared" si="185"/>
        <v>399800</v>
      </c>
      <c r="BB64" s="678">
        <f t="shared" ref="BB64:BB69" si="194">AW64+AS64</f>
        <v>8738300.6099999994</v>
      </c>
      <c r="BC64" s="676">
        <f t="shared" ref="BC64:BC69" si="195">ROUND(BB64*1.302,1)</f>
        <v>11377267.4</v>
      </c>
      <c r="BD64" s="544"/>
      <c r="BE64" s="11"/>
      <c r="BF64" s="445"/>
      <c r="BG64" s="439"/>
      <c r="BH64" s="439"/>
      <c r="BI64" s="11"/>
    </row>
    <row r="65" spans="1:61">
      <c r="A65" s="11">
        <v>3</v>
      </c>
      <c r="B65" s="14" t="s">
        <v>76</v>
      </c>
      <c r="C65" s="17">
        <v>216.1</v>
      </c>
      <c r="D65" s="17">
        <v>6.6</v>
      </c>
      <c r="E65" s="11">
        <v>55912.7</v>
      </c>
      <c r="F65" s="11">
        <v>1202.4000000000001</v>
      </c>
      <c r="G65" s="29">
        <v>21561.279999999999</v>
      </c>
      <c r="H65" s="545">
        <f t="shared" si="186"/>
        <v>55912.7</v>
      </c>
      <c r="I65" s="11">
        <f t="shared" si="171"/>
        <v>53671.299999999996</v>
      </c>
      <c r="J65" s="11"/>
      <c r="K65" s="11">
        <v>2241.4</v>
      </c>
      <c r="L65" s="545">
        <f t="shared" si="172"/>
        <v>1202.4000000000001</v>
      </c>
      <c r="M65" s="11">
        <f t="shared" si="187"/>
        <v>1202.4000000000001</v>
      </c>
      <c r="N65" s="11"/>
      <c r="O65" s="861">
        <f t="shared" si="188"/>
        <v>0</v>
      </c>
      <c r="P65" s="444">
        <v>216.1</v>
      </c>
      <c r="Q65" s="17">
        <v>6.6</v>
      </c>
      <c r="R65" s="29">
        <v>21561.279999999999</v>
      </c>
      <c r="S65" s="555">
        <f t="shared" si="189"/>
        <v>15181.82</v>
      </c>
      <c r="T65" s="554">
        <f t="shared" si="190"/>
        <v>57115111.439999998</v>
      </c>
      <c r="U65" s="674">
        <f t="shared" si="173"/>
        <v>55912711.299999997</v>
      </c>
      <c r="V65" s="433">
        <f t="shared" si="174"/>
        <v>53671311.299999997</v>
      </c>
      <c r="W65" s="11"/>
      <c r="X65" s="675">
        <v>2241400</v>
      </c>
      <c r="Y65" s="674">
        <f t="shared" si="175"/>
        <v>1202400.1399999999</v>
      </c>
      <c r="Z65" s="675">
        <f t="shared" si="176"/>
        <v>1202400.1399999999</v>
      </c>
      <c r="AA65" s="11"/>
      <c r="AB65" s="11">
        <v>0</v>
      </c>
      <c r="AC65" s="554">
        <f t="shared" si="177"/>
        <v>57115111.439999998</v>
      </c>
      <c r="AD65" s="433">
        <f t="shared" si="178"/>
        <v>54873711.439999998</v>
      </c>
      <c r="AE65" s="11">
        <f t="shared" si="179"/>
        <v>0</v>
      </c>
      <c r="AF65" s="675">
        <f t="shared" si="179"/>
        <v>2241400</v>
      </c>
      <c r="AG65" s="676">
        <f t="shared" si="180"/>
        <v>71445572.290000007</v>
      </c>
      <c r="AH65" s="11"/>
      <c r="AI65" s="1084"/>
      <c r="AJ65" s="850"/>
      <c r="AK65" s="850"/>
      <c r="AL65" s="440">
        <v>21561.279999999999</v>
      </c>
      <c r="AM65" s="557">
        <f t="shared" si="32"/>
        <v>15181.82</v>
      </c>
      <c r="AN65" s="1233"/>
      <c r="AO65" s="444">
        <v>216.1</v>
      </c>
      <c r="AP65" s="17">
        <v>6.6</v>
      </c>
      <c r="AQ65" s="674">
        <f t="shared" si="191"/>
        <v>57115111.439999998</v>
      </c>
      <c r="AR65" s="673">
        <f t="shared" si="34"/>
        <v>55912711.299999997</v>
      </c>
      <c r="AS65" s="675">
        <f t="shared" si="181"/>
        <v>53671311.299999997</v>
      </c>
      <c r="AT65" s="11">
        <f t="shared" si="192"/>
        <v>0</v>
      </c>
      <c r="AU65" s="675">
        <f t="shared" si="182"/>
        <v>2241400</v>
      </c>
      <c r="AV65" s="673">
        <f t="shared" si="154"/>
        <v>1202400.1399999999</v>
      </c>
      <c r="AW65" s="675">
        <f t="shared" si="183"/>
        <v>1202400.1399999999</v>
      </c>
      <c r="AX65" s="11">
        <f t="shared" si="184"/>
        <v>0</v>
      </c>
      <c r="AY65" s="11">
        <f t="shared" si="184"/>
        <v>0</v>
      </c>
      <c r="AZ65" s="18">
        <f t="shared" si="193"/>
        <v>0</v>
      </c>
      <c r="BA65" s="677">
        <f t="shared" si="185"/>
        <v>2241400</v>
      </c>
      <c r="BB65" s="678">
        <f t="shared" si="194"/>
        <v>54873711.439999998</v>
      </c>
      <c r="BC65" s="676">
        <f t="shared" si="195"/>
        <v>71445572.299999997</v>
      </c>
      <c r="BD65" s="544"/>
      <c r="BE65" s="11"/>
      <c r="BF65" s="445"/>
      <c r="BG65" s="439"/>
      <c r="BH65" s="439"/>
      <c r="BI65" s="11"/>
    </row>
    <row r="66" spans="1:61">
      <c r="A66" s="11">
        <v>4</v>
      </c>
      <c r="B66" s="14" t="s">
        <v>77</v>
      </c>
      <c r="C66" s="17">
        <v>38</v>
      </c>
      <c r="D66" s="17">
        <v>1.1000000000000001</v>
      </c>
      <c r="E66" s="11">
        <v>9887.7000000000007</v>
      </c>
      <c r="F66" s="11">
        <v>237.5</v>
      </c>
      <c r="G66" s="432">
        <v>21683.55</v>
      </c>
      <c r="H66" s="545">
        <f t="shared" si="186"/>
        <v>9887.7000000000007</v>
      </c>
      <c r="I66" s="11">
        <f t="shared" si="171"/>
        <v>9392.9000000000015</v>
      </c>
      <c r="J66" s="11"/>
      <c r="K66" s="11">
        <v>494.8</v>
      </c>
      <c r="L66" s="545">
        <f t="shared" si="172"/>
        <v>237.5</v>
      </c>
      <c r="M66" s="11">
        <f t="shared" si="187"/>
        <v>237.5</v>
      </c>
      <c r="N66" s="11"/>
      <c r="O66" s="861">
        <f t="shared" si="188"/>
        <v>0</v>
      </c>
      <c r="P66" s="444">
        <v>38</v>
      </c>
      <c r="Q66" s="17">
        <v>1.1000000000000001</v>
      </c>
      <c r="R66" s="432">
        <v>21683.55</v>
      </c>
      <c r="S66" s="555">
        <f t="shared" si="189"/>
        <v>17992.419999999998</v>
      </c>
      <c r="T66" s="554">
        <f t="shared" si="190"/>
        <v>10125198.74</v>
      </c>
      <c r="U66" s="674">
        <f t="shared" si="173"/>
        <v>9887698.8000000007</v>
      </c>
      <c r="V66" s="433">
        <f t="shared" si="174"/>
        <v>9392898.8000000007</v>
      </c>
      <c r="W66" s="11"/>
      <c r="X66" s="675">
        <v>494800</v>
      </c>
      <c r="Y66" s="674">
        <f t="shared" si="175"/>
        <v>237499.94</v>
      </c>
      <c r="Z66" s="675">
        <f t="shared" si="176"/>
        <v>237499.94</v>
      </c>
      <c r="AA66" s="11"/>
      <c r="AB66" s="11">
        <v>0</v>
      </c>
      <c r="AC66" s="554">
        <f t="shared" si="177"/>
        <v>10125198.74</v>
      </c>
      <c r="AD66" s="433">
        <f t="shared" si="178"/>
        <v>9630398.7400000002</v>
      </c>
      <c r="AE66" s="11">
        <f t="shared" si="179"/>
        <v>0</v>
      </c>
      <c r="AF66" s="675">
        <f t="shared" si="179"/>
        <v>494800</v>
      </c>
      <c r="AG66" s="676">
        <f t="shared" si="180"/>
        <v>12538779.16</v>
      </c>
      <c r="AH66" s="11"/>
      <c r="AI66" s="1084"/>
      <c r="AJ66" s="850"/>
      <c r="AK66" s="850"/>
      <c r="AL66" s="441">
        <v>21683.55</v>
      </c>
      <c r="AM66" s="557">
        <f t="shared" si="32"/>
        <v>17992.419999999998</v>
      </c>
      <c r="AN66" s="1233"/>
      <c r="AO66" s="444">
        <v>38</v>
      </c>
      <c r="AP66" s="17">
        <v>1.1000000000000001</v>
      </c>
      <c r="AQ66" s="674">
        <f t="shared" si="191"/>
        <v>10125198.74</v>
      </c>
      <c r="AR66" s="673">
        <f t="shared" si="34"/>
        <v>9887698.8000000007</v>
      </c>
      <c r="AS66" s="675">
        <f t="shared" si="181"/>
        <v>9392898.8000000007</v>
      </c>
      <c r="AT66" s="11">
        <f t="shared" si="192"/>
        <v>0</v>
      </c>
      <c r="AU66" s="675">
        <f t="shared" si="182"/>
        <v>494800</v>
      </c>
      <c r="AV66" s="673">
        <f t="shared" si="154"/>
        <v>237499.94</v>
      </c>
      <c r="AW66" s="675">
        <f t="shared" si="183"/>
        <v>237499.94</v>
      </c>
      <c r="AX66" s="11">
        <f t="shared" si="184"/>
        <v>0</v>
      </c>
      <c r="AY66" s="11">
        <f t="shared" si="184"/>
        <v>0</v>
      </c>
      <c r="AZ66" s="18">
        <f t="shared" si="193"/>
        <v>0</v>
      </c>
      <c r="BA66" s="677">
        <f t="shared" si="185"/>
        <v>494800</v>
      </c>
      <c r="BB66" s="678">
        <f t="shared" si="194"/>
        <v>9630398.7400000002</v>
      </c>
      <c r="BC66" s="676">
        <f t="shared" si="195"/>
        <v>12538779.199999999</v>
      </c>
      <c r="BD66" s="544"/>
      <c r="BE66" s="11"/>
      <c r="BF66" s="445"/>
      <c r="BG66" s="439"/>
      <c r="BH66" s="439"/>
      <c r="BI66" s="11"/>
    </row>
    <row r="67" spans="1:61">
      <c r="A67" s="11">
        <v>5</v>
      </c>
      <c r="B67" s="13" t="s">
        <v>73</v>
      </c>
      <c r="C67" s="17"/>
      <c r="D67" s="17"/>
      <c r="E67" s="11"/>
      <c r="F67" s="11"/>
      <c r="G67" s="555">
        <v>16008.33</v>
      </c>
      <c r="H67" s="545">
        <f t="shared" si="186"/>
        <v>0</v>
      </c>
      <c r="I67" s="11">
        <f t="shared" si="171"/>
        <v>0</v>
      </c>
      <c r="J67" s="11"/>
      <c r="K67" s="11">
        <v>0</v>
      </c>
      <c r="L67" s="545">
        <f t="shared" si="172"/>
        <v>0</v>
      </c>
      <c r="M67" s="11">
        <f t="shared" si="187"/>
        <v>0</v>
      </c>
      <c r="N67" s="11"/>
      <c r="O67" s="861">
        <f t="shared" si="188"/>
        <v>0</v>
      </c>
      <c r="P67" s="444"/>
      <c r="Q67" s="17"/>
      <c r="R67" s="555">
        <v>16008.33</v>
      </c>
      <c r="S67" s="555"/>
      <c r="T67" s="554">
        <f t="shared" si="190"/>
        <v>0</v>
      </c>
      <c r="U67" s="674">
        <f t="shared" si="173"/>
        <v>0</v>
      </c>
      <c r="V67" s="433">
        <f t="shared" si="174"/>
        <v>0</v>
      </c>
      <c r="W67" s="11"/>
      <c r="X67" s="675"/>
      <c r="Y67" s="674">
        <f t="shared" si="175"/>
        <v>0</v>
      </c>
      <c r="Z67" s="675">
        <f t="shared" si="176"/>
        <v>0</v>
      </c>
      <c r="AA67" s="11"/>
      <c r="AB67" s="11">
        <v>0</v>
      </c>
      <c r="AC67" s="554">
        <f t="shared" si="177"/>
        <v>0</v>
      </c>
      <c r="AD67" s="433">
        <f t="shared" si="178"/>
        <v>0</v>
      </c>
      <c r="AE67" s="11">
        <f t="shared" si="179"/>
        <v>0</v>
      </c>
      <c r="AF67" s="11">
        <f t="shared" si="179"/>
        <v>0</v>
      </c>
      <c r="AG67" s="676">
        <f t="shared" si="180"/>
        <v>0</v>
      </c>
      <c r="AH67" s="11"/>
      <c r="AI67" s="1084"/>
      <c r="AJ67" s="850"/>
      <c r="AK67" s="850"/>
      <c r="AL67" s="557">
        <v>16008.33</v>
      </c>
      <c r="AM67" s="557">
        <f t="shared" si="32"/>
        <v>0</v>
      </c>
      <c r="AN67" s="1233"/>
      <c r="AO67" s="444"/>
      <c r="AP67" s="17"/>
      <c r="AQ67" s="674">
        <f t="shared" si="191"/>
        <v>0</v>
      </c>
      <c r="AR67" s="673">
        <f t="shared" si="34"/>
        <v>0</v>
      </c>
      <c r="AS67" s="675">
        <f t="shared" si="181"/>
        <v>0</v>
      </c>
      <c r="AT67" s="11">
        <f t="shared" si="192"/>
        <v>0</v>
      </c>
      <c r="AU67" s="675">
        <f t="shared" si="182"/>
        <v>0</v>
      </c>
      <c r="AV67" s="673">
        <f t="shared" si="154"/>
        <v>0</v>
      </c>
      <c r="AW67" s="675">
        <f t="shared" si="183"/>
        <v>0</v>
      </c>
      <c r="AX67" s="11">
        <f t="shared" si="184"/>
        <v>0</v>
      </c>
      <c r="AY67" s="11">
        <f t="shared" si="184"/>
        <v>0</v>
      </c>
      <c r="AZ67" s="18">
        <f t="shared" si="193"/>
        <v>0</v>
      </c>
      <c r="BA67" s="677">
        <f t="shared" si="185"/>
        <v>0</v>
      </c>
      <c r="BB67" s="19">
        <f t="shared" si="194"/>
        <v>0</v>
      </c>
      <c r="BC67" s="544">
        <f t="shared" si="195"/>
        <v>0</v>
      </c>
      <c r="BD67" s="544"/>
      <c r="BE67" s="11"/>
      <c r="BF67" s="445"/>
      <c r="BG67" s="439"/>
      <c r="BH67" s="439"/>
      <c r="BI67" s="11"/>
    </row>
    <row r="68" spans="1:61">
      <c r="A68" s="11">
        <v>6</v>
      </c>
      <c r="B68" s="13" t="s">
        <v>74</v>
      </c>
      <c r="C68" s="17"/>
      <c r="D68" s="17"/>
      <c r="E68" s="11"/>
      <c r="F68" s="11"/>
      <c r="G68" s="555"/>
      <c r="H68" s="545">
        <f t="shared" si="186"/>
        <v>0</v>
      </c>
      <c r="I68" s="11">
        <f t="shared" si="171"/>
        <v>0</v>
      </c>
      <c r="J68" s="11"/>
      <c r="K68" s="11"/>
      <c r="L68" s="545">
        <f t="shared" si="172"/>
        <v>0</v>
      </c>
      <c r="M68" s="11">
        <f t="shared" si="187"/>
        <v>0</v>
      </c>
      <c r="N68" s="11"/>
      <c r="O68" s="861">
        <f t="shared" si="188"/>
        <v>0</v>
      </c>
      <c r="P68" s="444"/>
      <c r="Q68" s="17"/>
      <c r="R68" s="555"/>
      <c r="S68" s="555"/>
      <c r="T68" s="554">
        <f t="shared" si="190"/>
        <v>0</v>
      </c>
      <c r="U68" s="674">
        <f t="shared" si="173"/>
        <v>0</v>
      </c>
      <c r="V68" s="433">
        <f t="shared" si="174"/>
        <v>0</v>
      </c>
      <c r="W68" s="11"/>
      <c r="X68" s="675"/>
      <c r="Y68" s="674">
        <f t="shared" si="175"/>
        <v>0</v>
      </c>
      <c r="Z68" s="675">
        <f t="shared" si="176"/>
        <v>0</v>
      </c>
      <c r="AA68" s="11"/>
      <c r="AB68" s="11">
        <v>0</v>
      </c>
      <c r="AC68" s="554">
        <f t="shared" si="177"/>
        <v>0</v>
      </c>
      <c r="AD68" s="433">
        <f t="shared" si="178"/>
        <v>0</v>
      </c>
      <c r="AE68" s="11">
        <f t="shared" si="179"/>
        <v>0</v>
      </c>
      <c r="AF68" s="11">
        <f t="shared" si="179"/>
        <v>0</v>
      </c>
      <c r="AG68" s="676">
        <f t="shared" si="180"/>
        <v>0</v>
      </c>
      <c r="AH68" s="11"/>
      <c r="AI68" s="1084"/>
      <c r="AJ68" s="850"/>
      <c r="AK68" s="850"/>
      <c r="AL68" s="557"/>
      <c r="AM68" s="557">
        <f t="shared" si="32"/>
        <v>0</v>
      </c>
      <c r="AN68" s="1233"/>
      <c r="AO68" s="444"/>
      <c r="AP68" s="17"/>
      <c r="AQ68" s="674">
        <f t="shared" si="191"/>
        <v>0</v>
      </c>
      <c r="AR68" s="673">
        <f t="shared" si="34"/>
        <v>0</v>
      </c>
      <c r="AS68" s="11">
        <f t="shared" si="181"/>
        <v>0</v>
      </c>
      <c r="AT68" s="11">
        <f t="shared" si="192"/>
        <v>0</v>
      </c>
      <c r="AU68" s="675">
        <f t="shared" si="182"/>
        <v>0</v>
      </c>
      <c r="AV68" s="673">
        <f t="shared" si="154"/>
        <v>0</v>
      </c>
      <c r="AW68" s="675">
        <f t="shared" si="183"/>
        <v>0</v>
      </c>
      <c r="AX68" s="11">
        <f t="shared" si="184"/>
        <v>0</v>
      </c>
      <c r="AY68" s="11">
        <f t="shared" si="184"/>
        <v>0</v>
      </c>
      <c r="AZ68" s="18">
        <f t="shared" si="193"/>
        <v>0</v>
      </c>
      <c r="BA68" s="18">
        <f t="shared" si="185"/>
        <v>0</v>
      </c>
      <c r="BB68" s="19">
        <f t="shared" si="194"/>
        <v>0</v>
      </c>
      <c r="BC68" s="544">
        <f t="shared" si="195"/>
        <v>0</v>
      </c>
      <c r="BD68" s="544"/>
      <c r="BE68" s="11"/>
      <c r="BF68" s="445"/>
      <c r="BG68" s="439"/>
      <c r="BH68" s="439"/>
      <c r="BI68" s="11"/>
    </row>
    <row r="69" spans="1:61">
      <c r="A69" s="11">
        <v>7</v>
      </c>
      <c r="B69" s="1131" t="s">
        <v>814</v>
      </c>
      <c r="C69" s="17">
        <v>237.6</v>
      </c>
      <c r="D69" s="17">
        <v>3</v>
      </c>
      <c r="E69" s="11">
        <v>23106</v>
      </c>
      <c r="F69" s="11">
        <v>235.8</v>
      </c>
      <c r="G69" s="555">
        <v>8103.96</v>
      </c>
      <c r="H69" s="545">
        <f t="shared" si="186"/>
        <v>23106</v>
      </c>
      <c r="I69" s="11">
        <f t="shared" si="171"/>
        <v>23106</v>
      </c>
      <c r="J69" s="11"/>
      <c r="K69" s="11">
        <v>0</v>
      </c>
      <c r="L69" s="545">
        <f t="shared" si="172"/>
        <v>235.8</v>
      </c>
      <c r="M69" s="11">
        <f t="shared" si="187"/>
        <v>235.8</v>
      </c>
      <c r="N69" s="11"/>
      <c r="O69" s="861">
        <f t="shared" si="188"/>
        <v>0</v>
      </c>
      <c r="P69" s="444">
        <v>237.6</v>
      </c>
      <c r="Q69" s="17">
        <v>3</v>
      </c>
      <c r="R69" s="555">
        <v>8103.96</v>
      </c>
      <c r="S69" s="555">
        <f t="shared" si="189"/>
        <v>6550</v>
      </c>
      <c r="T69" s="554">
        <f t="shared" si="190"/>
        <v>23341810.75</v>
      </c>
      <c r="U69" s="674">
        <f t="shared" si="173"/>
        <v>23106010.75</v>
      </c>
      <c r="V69" s="433">
        <f t="shared" si="174"/>
        <v>23106010.75</v>
      </c>
      <c r="W69" s="11"/>
      <c r="X69" s="675"/>
      <c r="Y69" s="674">
        <f t="shared" si="175"/>
        <v>235800</v>
      </c>
      <c r="Z69" s="675">
        <f t="shared" si="176"/>
        <v>235800</v>
      </c>
      <c r="AA69" s="11"/>
      <c r="AB69" s="11">
        <v>0</v>
      </c>
      <c r="AC69" s="554">
        <f t="shared" si="177"/>
        <v>23341810.75</v>
      </c>
      <c r="AD69" s="433">
        <f t="shared" si="178"/>
        <v>23341810.75</v>
      </c>
      <c r="AE69" s="11">
        <f t="shared" si="179"/>
        <v>0</v>
      </c>
      <c r="AF69" s="11">
        <f t="shared" si="179"/>
        <v>0</v>
      </c>
      <c r="AG69" s="676">
        <f t="shared" si="180"/>
        <v>30391037.600000001</v>
      </c>
      <c r="AH69" s="11"/>
      <c r="AI69" s="1084"/>
      <c r="AJ69" s="850"/>
      <c r="AK69" s="850"/>
      <c r="AL69" s="557">
        <v>8103.96</v>
      </c>
      <c r="AM69" s="557">
        <f t="shared" si="32"/>
        <v>6550</v>
      </c>
      <c r="AN69" s="1233"/>
      <c r="AO69" s="444">
        <v>237.6</v>
      </c>
      <c r="AP69" s="17">
        <v>3</v>
      </c>
      <c r="AQ69" s="674">
        <f t="shared" si="191"/>
        <v>23341810.800000001</v>
      </c>
      <c r="AR69" s="673">
        <f t="shared" si="34"/>
        <v>23106010.800000001</v>
      </c>
      <c r="AS69" s="675">
        <f t="shared" si="181"/>
        <v>23106010.800000001</v>
      </c>
      <c r="AT69" s="11">
        <f t="shared" si="192"/>
        <v>0</v>
      </c>
      <c r="AU69" s="11">
        <f t="shared" si="182"/>
        <v>0</v>
      </c>
      <c r="AV69" s="673">
        <f t="shared" si="154"/>
        <v>235800</v>
      </c>
      <c r="AW69" s="675">
        <f t="shared" si="183"/>
        <v>235800</v>
      </c>
      <c r="AX69" s="11">
        <f t="shared" si="184"/>
        <v>0</v>
      </c>
      <c r="AY69" s="11">
        <f t="shared" si="184"/>
        <v>0</v>
      </c>
      <c r="AZ69" s="18">
        <f t="shared" si="193"/>
        <v>0</v>
      </c>
      <c r="BA69" s="18">
        <f t="shared" si="185"/>
        <v>0</v>
      </c>
      <c r="BB69" s="678">
        <f t="shared" si="194"/>
        <v>23341810.800000001</v>
      </c>
      <c r="BC69" s="676">
        <f t="shared" si="195"/>
        <v>30391037.699999999</v>
      </c>
      <c r="BD69" s="544"/>
      <c r="BE69" s="11"/>
      <c r="BF69" s="445"/>
      <c r="BG69" s="439"/>
      <c r="BH69" s="439"/>
      <c r="BI69" s="11"/>
    </row>
    <row r="70" spans="1:61">
      <c r="A70" s="11"/>
      <c r="B70" s="1132" t="s">
        <v>815</v>
      </c>
      <c r="C70" s="17"/>
      <c r="D70" s="17"/>
      <c r="E70" s="11"/>
      <c r="F70" s="11"/>
      <c r="G70" s="555"/>
      <c r="H70" s="545"/>
      <c r="I70" s="11"/>
      <c r="J70" s="11"/>
      <c r="K70" s="11"/>
      <c r="L70" s="545"/>
      <c r="M70" s="11"/>
      <c r="N70" s="11"/>
      <c r="O70" s="861"/>
      <c r="P70" s="444"/>
      <c r="Q70" s="17"/>
      <c r="R70" s="555"/>
      <c r="S70" s="555"/>
      <c r="T70" s="554"/>
      <c r="U70" s="674"/>
      <c r="V70" s="433"/>
      <c r="W70" s="11"/>
      <c r="X70" s="675"/>
      <c r="Y70" s="674"/>
      <c r="Z70" s="675"/>
      <c r="AA70" s="11"/>
      <c r="AB70" s="11"/>
      <c r="AC70" s="554"/>
      <c r="AD70" s="433"/>
      <c r="AE70" s="11"/>
      <c r="AF70" s="11"/>
      <c r="AG70" s="676"/>
      <c r="AH70" s="11"/>
      <c r="AI70" s="1084"/>
      <c r="AJ70" s="850"/>
      <c r="AK70" s="850"/>
      <c r="AL70" s="557"/>
      <c r="AM70" s="557"/>
      <c r="AN70" s="1233">
        <f>AO70-P70</f>
        <v>0</v>
      </c>
      <c r="AO70" s="1133"/>
      <c r="AP70" s="17"/>
      <c r="AQ70" s="674"/>
      <c r="AR70" s="673"/>
      <c r="AS70" s="675"/>
      <c r="AT70" s="11"/>
      <c r="AU70" s="11"/>
      <c r="AV70" s="673"/>
      <c r="AW70" s="675"/>
      <c r="AX70" s="11"/>
      <c r="AY70" s="11"/>
      <c r="AZ70" s="18"/>
      <c r="BA70" s="18"/>
      <c r="BB70" s="678"/>
      <c r="BC70" s="676"/>
      <c r="BD70" s="544"/>
      <c r="BE70" s="1045"/>
      <c r="BF70" s="445"/>
      <c r="BG70" s="1130"/>
      <c r="BH70" s="1130"/>
      <c r="BI70" s="11"/>
    </row>
    <row r="71" spans="1:61" ht="19.149999999999999" customHeight="1">
      <c r="A71" s="545">
        <v>7</v>
      </c>
      <c r="B71" s="426" t="s">
        <v>92</v>
      </c>
      <c r="C71" s="545">
        <f>C72+C73+C74+C75+C76+C77+C78</f>
        <v>359.5</v>
      </c>
      <c r="D71" s="545">
        <f>D72+D73+D74+D75+D76+D77+D78</f>
        <v>20.8</v>
      </c>
      <c r="E71" s="545">
        <f>SUM(E72:E78)</f>
        <v>79165.2</v>
      </c>
      <c r="F71" s="545">
        <f t="shared" ref="F71:AG71" si="196">F72+F73+F74+F75+F76+F77+F78</f>
        <v>2811.8999999999996</v>
      </c>
      <c r="G71" s="558">
        <v>18350.759999999998</v>
      </c>
      <c r="H71" s="545">
        <f t="shared" si="196"/>
        <v>79165.2</v>
      </c>
      <c r="I71" s="545">
        <f t="shared" si="196"/>
        <v>77780.099999999991</v>
      </c>
      <c r="J71" s="545">
        <f t="shared" si="196"/>
        <v>0</v>
      </c>
      <c r="K71" s="545">
        <f t="shared" si="196"/>
        <v>1385.1</v>
      </c>
      <c r="L71" s="545">
        <f t="shared" si="196"/>
        <v>2811.8999999999996</v>
      </c>
      <c r="M71" s="545">
        <f t="shared" si="196"/>
        <v>2811.8999999999996</v>
      </c>
      <c r="N71" s="545">
        <f t="shared" si="196"/>
        <v>0</v>
      </c>
      <c r="O71" s="559">
        <f t="shared" si="196"/>
        <v>0</v>
      </c>
      <c r="P71" s="560">
        <f t="shared" si="196"/>
        <v>359.5</v>
      </c>
      <c r="Q71" s="545">
        <f t="shared" si="196"/>
        <v>20</v>
      </c>
      <c r="R71" s="558">
        <v>18350.759999999998</v>
      </c>
      <c r="S71" s="558"/>
      <c r="T71" s="561">
        <f>SUM(T72:T78)</f>
        <v>83150435.670000017</v>
      </c>
      <c r="U71" s="545">
        <f t="shared" ref="U71:AB71" si="197">U72+U73+U74+U75+U76+U77+U78</f>
        <v>80494480.200000003</v>
      </c>
      <c r="V71" s="545">
        <f t="shared" si="197"/>
        <v>78962280.200000003</v>
      </c>
      <c r="W71" s="545">
        <f t="shared" si="197"/>
        <v>0</v>
      </c>
      <c r="X71" s="545">
        <f t="shared" si="197"/>
        <v>1532200</v>
      </c>
      <c r="Y71" s="545">
        <f t="shared" si="197"/>
        <v>2655955.4699999997</v>
      </c>
      <c r="Z71" s="545">
        <f t="shared" si="197"/>
        <v>2595955.4699999997</v>
      </c>
      <c r="AA71" s="545">
        <f t="shared" si="197"/>
        <v>0</v>
      </c>
      <c r="AB71" s="545">
        <f t="shared" si="197"/>
        <v>60000</v>
      </c>
      <c r="AC71" s="545">
        <f t="shared" si="196"/>
        <v>83150435.670000002</v>
      </c>
      <c r="AD71" s="545">
        <f t="shared" si="196"/>
        <v>81558235.670000002</v>
      </c>
      <c r="AE71" s="545">
        <f t="shared" si="196"/>
        <v>0</v>
      </c>
      <c r="AF71" s="545">
        <f t="shared" si="196"/>
        <v>1592200</v>
      </c>
      <c r="AG71" s="545">
        <f t="shared" si="196"/>
        <v>106188822.84</v>
      </c>
      <c r="AH71" s="558">
        <v>4527740</v>
      </c>
      <c r="AI71" s="1086">
        <v>110800355</v>
      </c>
      <c r="AJ71" s="765">
        <f>AH71+AG71</f>
        <v>110716562.84</v>
      </c>
      <c r="AK71" s="876">
        <f>AJ71-AI71</f>
        <v>-83792.159999996424</v>
      </c>
      <c r="AL71" s="563">
        <v>18350.759999999998</v>
      </c>
      <c r="AM71" s="563">
        <v>10877.53</v>
      </c>
      <c r="AN71" s="545">
        <f>AN72+AN73+AN74+AN75+AN76+AN77+AN78</f>
        <v>34.899999999999991</v>
      </c>
      <c r="AO71" s="545">
        <f>AO72+AO73+AO74+AO75+AO76+AO77+AO78</f>
        <v>394.4</v>
      </c>
      <c r="AP71" s="545">
        <f t="shared" ref="AP71:BC71" si="198">AP72+AP73+AP74+AP75+AP76+AP77+AP78</f>
        <v>23.4</v>
      </c>
      <c r="AQ71" s="561">
        <f>SUM(AQ72:AQ78)</f>
        <v>90368604.560000002</v>
      </c>
      <c r="AR71" s="545">
        <f t="shared" si="34"/>
        <v>86850476.900000006</v>
      </c>
      <c r="AS71" s="545">
        <f t="shared" si="198"/>
        <v>85624526.899999991</v>
      </c>
      <c r="AT71" s="545">
        <f t="shared" si="198"/>
        <v>0</v>
      </c>
      <c r="AU71" s="545">
        <f t="shared" si="198"/>
        <v>1689667</v>
      </c>
      <c r="AV71" s="545">
        <f t="shared" si="154"/>
        <v>3054410.42</v>
      </c>
      <c r="AW71" s="545">
        <f>AW72+AW73+AW74+AW75+AW76+AW77+AW78</f>
        <v>2994410.66</v>
      </c>
      <c r="AX71" s="545">
        <f t="shared" si="198"/>
        <v>0</v>
      </c>
      <c r="AY71" s="545">
        <f t="shared" si="198"/>
        <v>60000</v>
      </c>
      <c r="AZ71" s="545">
        <f t="shared" si="198"/>
        <v>0</v>
      </c>
      <c r="BA71" s="545">
        <f t="shared" si="198"/>
        <v>1749667</v>
      </c>
      <c r="BB71" s="545">
        <f t="shared" si="198"/>
        <v>88618937.559999987</v>
      </c>
      <c r="BC71" s="545">
        <f t="shared" si="198"/>
        <v>115381856.60000001</v>
      </c>
      <c r="BD71" s="558">
        <v>4869630.3</v>
      </c>
      <c r="BE71" s="564">
        <f>BD71+BC71</f>
        <v>120251486.90000001</v>
      </c>
      <c r="BF71" s="562">
        <v>110800355</v>
      </c>
      <c r="BG71" s="865">
        <f>BE71-BF71</f>
        <v>9451131.900000006</v>
      </c>
      <c r="BH71" s="875">
        <f>AG71+AH71</f>
        <v>110716562.84</v>
      </c>
      <c r="BI71" s="876">
        <f>BH71-AI71</f>
        <v>-83792.159999996424</v>
      </c>
    </row>
    <row r="72" spans="1:61">
      <c r="A72" s="11">
        <v>1</v>
      </c>
      <c r="B72" s="13" t="s">
        <v>71</v>
      </c>
      <c r="C72" s="17">
        <v>9</v>
      </c>
      <c r="D72" s="17"/>
      <c r="E72" s="11">
        <v>5610.1</v>
      </c>
      <c r="F72" s="11"/>
      <c r="G72" s="555">
        <v>51945.37</v>
      </c>
      <c r="H72" s="545">
        <f>I72+J72+K72</f>
        <v>5610.1</v>
      </c>
      <c r="I72" s="11">
        <f t="shared" ref="I72:I78" si="199">E72-K72-J72</f>
        <v>5502.7000000000007</v>
      </c>
      <c r="J72" s="11"/>
      <c r="K72" s="11">
        <v>107.4</v>
      </c>
      <c r="L72" s="545">
        <f t="shared" ref="L72:L78" si="200">M72+N72</f>
        <v>0</v>
      </c>
      <c r="M72" s="11">
        <f>F72-N72</f>
        <v>0</v>
      </c>
      <c r="N72" s="11"/>
      <c r="O72" s="861">
        <f>P72-C72</f>
        <v>0</v>
      </c>
      <c r="P72" s="444">
        <v>9</v>
      </c>
      <c r="Q72" s="17"/>
      <c r="R72" s="765">
        <v>54063.92</v>
      </c>
      <c r="S72" s="555"/>
      <c r="T72" s="554">
        <f>U72+Y72</f>
        <v>5838903.3600000003</v>
      </c>
      <c r="U72" s="556">
        <f t="shared" ref="U72:U78" si="201">ROUND(R72*P72*12,2)</f>
        <v>5838903.3600000003</v>
      </c>
      <c r="V72" s="433">
        <f t="shared" ref="V72:V78" si="202">U72-W72-X72</f>
        <v>5742303.3600000003</v>
      </c>
      <c r="W72" s="11"/>
      <c r="X72" s="11">
        <v>96600</v>
      </c>
      <c r="Y72" s="556">
        <f t="shared" ref="Y72:Y78" si="203">ROUND(S72*Q72*12,2)</f>
        <v>0</v>
      </c>
      <c r="Z72" s="11">
        <f t="shared" ref="Z72:Z78" si="204">Y72-AA72-AB72</f>
        <v>0</v>
      </c>
      <c r="AA72" s="11"/>
      <c r="AB72" s="11"/>
      <c r="AC72" s="554">
        <f t="shared" ref="AC72:AC78" si="205">AD72+AE72+AF72</f>
        <v>5838903.3600000003</v>
      </c>
      <c r="AD72" s="433">
        <f t="shared" ref="AD72:AD78" si="206">ROUND((Z72+V72),2)</f>
        <v>5742303.3600000003</v>
      </c>
      <c r="AE72" s="11">
        <f t="shared" ref="AE72:AF78" si="207">AA72+W72</f>
        <v>0</v>
      </c>
      <c r="AF72" s="11">
        <f t="shared" si="207"/>
        <v>96600</v>
      </c>
      <c r="AG72" s="544">
        <f t="shared" ref="AG72:AG78" si="208">ROUND(AD72*1.302,2)</f>
        <v>7476478.9699999997</v>
      </c>
      <c r="AH72" s="765">
        <v>4527740</v>
      </c>
      <c r="AI72" s="1084"/>
      <c r="AJ72" s="850"/>
      <c r="AK72" s="850"/>
      <c r="AL72" s="557">
        <v>55014.81</v>
      </c>
      <c r="AM72" s="557">
        <f t="shared" ref="AM72:AM77" si="209">S72</f>
        <v>0</v>
      </c>
      <c r="AN72" s="1233"/>
      <c r="AO72" s="17">
        <v>9</v>
      </c>
      <c r="AP72" s="17"/>
      <c r="AQ72" s="554">
        <f>AR72+AV72</f>
        <v>5941599.5</v>
      </c>
      <c r="AR72" s="545">
        <f t="shared" si="34"/>
        <v>5941599.5</v>
      </c>
      <c r="AS72" s="11">
        <f t="shared" ref="AS72:AS78" si="210">AR72-AT72-AU72</f>
        <v>5844999.5</v>
      </c>
      <c r="AT72" s="11">
        <f>W72</f>
        <v>0</v>
      </c>
      <c r="AU72" s="11">
        <f t="shared" ref="AU72:AU78" si="211">X72</f>
        <v>96600</v>
      </c>
      <c r="AV72" s="545">
        <f t="shared" si="154"/>
        <v>0</v>
      </c>
      <c r="AW72" s="11">
        <f t="shared" ref="AW72:AW78" si="212">AV72-AX72-AY72</f>
        <v>0</v>
      </c>
      <c r="AX72" s="11">
        <f t="shared" ref="AX72:AY78" si="213">AA72</f>
        <v>0</v>
      </c>
      <c r="AY72" s="11">
        <f t="shared" si="213"/>
        <v>0</v>
      </c>
      <c r="AZ72" s="18">
        <f>AX72+AT72</f>
        <v>0</v>
      </c>
      <c r="BA72" s="18">
        <f t="shared" ref="BA72:BA78" si="214">AY72+AU72</f>
        <v>96600</v>
      </c>
      <c r="BB72" s="19">
        <f>AW72+AS72</f>
        <v>5844999.5</v>
      </c>
      <c r="BC72" s="544">
        <f>ROUND(BB72*1.302,1)</f>
        <v>7610189.2999999998</v>
      </c>
      <c r="BD72" s="544"/>
      <c r="BE72" s="11"/>
      <c r="BF72" s="445"/>
      <c r="BG72" s="439"/>
      <c r="BH72" s="439"/>
      <c r="BI72" s="11"/>
    </row>
    <row r="73" spans="1:61">
      <c r="A73" s="11">
        <v>2</v>
      </c>
      <c r="B73" s="13" t="s">
        <v>72</v>
      </c>
      <c r="C73" s="17">
        <v>23</v>
      </c>
      <c r="D73" s="17">
        <v>1</v>
      </c>
      <c r="E73" s="11">
        <v>10074.200000000001</v>
      </c>
      <c r="F73" s="11">
        <v>390</v>
      </c>
      <c r="G73" s="555">
        <v>36500.720000000001</v>
      </c>
      <c r="H73" s="545">
        <f t="shared" ref="H73:H78" si="215">I73+J73+K73</f>
        <v>10074.200000000001</v>
      </c>
      <c r="I73" s="11">
        <f t="shared" si="199"/>
        <v>10003.300000000001</v>
      </c>
      <c r="J73" s="11"/>
      <c r="K73" s="11">
        <v>70.900000000000006</v>
      </c>
      <c r="L73" s="545">
        <f t="shared" si="200"/>
        <v>390</v>
      </c>
      <c r="M73" s="11">
        <f t="shared" ref="M73:M78" si="216">F73-N73</f>
        <v>390</v>
      </c>
      <c r="N73" s="11"/>
      <c r="O73" s="861">
        <f t="shared" ref="O73:O78" si="217">P73-C73</f>
        <v>0</v>
      </c>
      <c r="P73" s="444">
        <v>23</v>
      </c>
      <c r="Q73" s="17">
        <v>1</v>
      </c>
      <c r="R73" s="555">
        <v>36810.14</v>
      </c>
      <c r="S73" s="555">
        <f>ROUND(F73/D73/12*1000,2)</f>
        <v>32500</v>
      </c>
      <c r="T73" s="554">
        <f t="shared" ref="T73:T78" si="218">U73+Y73</f>
        <v>10549598.640000001</v>
      </c>
      <c r="U73" s="556">
        <f t="shared" si="201"/>
        <v>10159598.640000001</v>
      </c>
      <c r="V73" s="433">
        <f t="shared" si="202"/>
        <v>10055898.640000001</v>
      </c>
      <c r="W73" s="11"/>
      <c r="X73" s="11">
        <v>103700</v>
      </c>
      <c r="Y73" s="556">
        <f t="shared" si="203"/>
        <v>390000</v>
      </c>
      <c r="Z73" s="11">
        <f t="shared" si="204"/>
        <v>390000</v>
      </c>
      <c r="AA73" s="11"/>
      <c r="AB73" s="11"/>
      <c r="AC73" s="554">
        <f t="shared" si="205"/>
        <v>10549598.640000001</v>
      </c>
      <c r="AD73" s="433">
        <f t="shared" si="206"/>
        <v>10445898.640000001</v>
      </c>
      <c r="AE73" s="11">
        <f t="shared" si="207"/>
        <v>0</v>
      </c>
      <c r="AF73" s="11">
        <f t="shared" si="207"/>
        <v>103700</v>
      </c>
      <c r="AG73" s="544">
        <f t="shared" si="208"/>
        <v>13600560.029999999</v>
      </c>
      <c r="AH73" s="11"/>
      <c r="AI73" s="1084"/>
      <c r="AJ73" s="850"/>
      <c r="AK73" s="850"/>
      <c r="AL73" s="557">
        <v>36007.410000000003</v>
      </c>
      <c r="AM73" s="557">
        <f t="shared" si="209"/>
        <v>32500</v>
      </c>
      <c r="AN73" s="1233">
        <f>AO73-P73</f>
        <v>4</v>
      </c>
      <c r="AO73" s="17">
        <v>27</v>
      </c>
      <c r="AP73" s="17">
        <v>1</v>
      </c>
      <c r="AQ73" s="554">
        <f t="shared" ref="AQ73:AQ78" si="219">AR73+AV73</f>
        <v>12056400.800000001</v>
      </c>
      <c r="AR73" s="545">
        <f t="shared" si="34"/>
        <v>11666400.800000001</v>
      </c>
      <c r="AS73" s="11">
        <f t="shared" si="210"/>
        <v>11484000.800000001</v>
      </c>
      <c r="AT73" s="11">
        <f t="shared" ref="AT73:AT78" si="220">W73</f>
        <v>0</v>
      </c>
      <c r="AU73" s="11">
        <v>182400</v>
      </c>
      <c r="AV73" s="545">
        <f t="shared" si="154"/>
        <v>390000</v>
      </c>
      <c r="AW73" s="11">
        <f t="shared" si="212"/>
        <v>390000</v>
      </c>
      <c r="AX73" s="11">
        <f t="shared" si="213"/>
        <v>0</v>
      </c>
      <c r="AY73" s="11">
        <f t="shared" si="213"/>
        <v>0</v>
      </c>
      <c r="AZ73" s="18">
        <f t="shared" ref="AZ73:AZ78" si="221">AX73+AT73</f>
        <v>0</v>
      </c>
      <c r="BA73" s="18">
        <f t="shared" si="214"/>
        <v>182400</v>
      </c>
      <c r="BB73" s="19">
        <f t="shared" ref="BB73:BB78" si="222">AW73+AS73</f>
        <v>11874000.800000001</v>
      </c>
      <c r="BC73" s="544">
        <f t="shared" ref="BC73:BC78" si="223">ROUND(BB73*1.302,1)</f>
        <v>15459949</v>
      </c>
      <c r="BD73" s="544"/>
      <c r="BE73" s="11"/>
      <c r="BF73" s="445"/>
      <c r="BG73" s="439"/>
      <c r="BH73" s="439"/>
      <c r="BI73" s="11"/>
    </row>
    <row r="74" spans="1:61">
      <c r="A74" s="11">
        <v>3</v>
      </c>
      <c r="B74" s="14" t="s">
        <v>76</v>
      </c>
      <c r="C74" s="17">
        <v>172.5</v>
      </c>
      <c r="D74" s="17">
        <v>6.7</v>
      </c>
      <c r="E74" s="11">
        <v>46001.8</v>
      </c>
      <c r="F74" s="11">
        <v>1188.8</v>
      </c>
      <c r="G74" s="29">
        <v>22223.09</v>
      </c>
      <c r="H74" s="545">
        <f t="shared" si="215"/>
        <v>46001.8</v>
      </c>
      <c r="I74" s="11">
        <f t="shared" si="199"/>
        <v>44795</v>
      </c>
      <c r="J74" s="11"/>
      <c r="K74" s="11">
        <v>1206.8</v>
      </c>
      <c r="L74" s="545">
        <f t="shared" si="200"/>
        <v>1188.8</v>
      </c>
      <c r="M74" s="11">
        <f t="shared" si="216"/>
        <v>1188.8</v>
      </c>
      <c r="N74" s="11"/>
      <c r="O74" s="861">
        <f t="shared" si="217"/>
        <v>0.5</v>
      </c>
      <c r="P74" s="444">
        <v>173</v>
      </c>
      <c r="Q74" s="17">
        <v>4.8</v>
      </c>
      <c r="R74" s="29">
        <v>22223.09</v>
      </c>
      <c r="S74" s="555">
        <v>15923.63</v>
      </c>
      <c r="T74" s="554">
        <f t="shared" si="218"/>
        <v>47052335.930000007</v>
      </c>
      <c r="U74" s="556">
        <f t="shared" si="201"/>
        <v>46135134.840000004</v>
      </c>
      <c r="V74" s="433">
        <f t="shared" si="202"/>
        <v>44803234.840000004</v>
      </c>
      <c r="W74" s="11"/>
      <c r="X74" s="11">
        <v>1331900</v>
      </c>
      <c r="Y74" s="556">
        <f t="shared" si="203"/>
        <v>917201.09</v>
      </c>
      <c r="Z74" s="11">
        <f t="shared" si="204"/>
        <v>857201.09</v>
      </c>
      <c r="AA74" s="11"/>
      <c r="AB74" s="11">
        <v>60000</v>
      </c>
      <c r="AC74" s="554">
        <f t="shared" si="205"/>
        <v>47052335.93</v>
      </c>
      <c r="AD74" s="433">
        <f t="shared" si="206"/>
        <v>45660435.93</v>
      </c>
      <c r="AE74" s="11">
        <f t="shared" si="207"/>
        <v>0</v>
      </c>
      <c r="AF74" s="11">
        <f t="shared" si="207"/>
        <v>1391900</v>
      </c>
      <c r="AG74" s="544">
        <f t="shared" si="208"/>
        <v>59449887.579999998</v>
      </c>
      <c r="AH74" s="11"/>
      <c r="AI74" s="1084"/>
      <c r="AJ74" s="850"/>
      <c r="AK74" s="850"/>
      <c r="AL74" s="440">
        <v>22223.09</v>
      </c>
      <c r="AM74" s="557">
        <v>15364.8</v>
      </c>
      <c r="AN74" s="1233">
        <f>AO74-P74</f>
        <v>0.19999999999998863</v>
      </c>
      <c r="AO74" s="17">
        <v>173.2</v>
      </c>
      <c r="AP74" s="17">
        <v>5.3</v>
      </c>
      <c r="AQ74" s="554">
        <f t="shared" si="219"/>
        <v>47165671.579999998</v>
      </c>
      <c r="AR74" s="545">
        <f t="shared" si="34"/>
        <v>46188470.299999997</v>
      </c>
      <c r="AS74" s="11">
        <f t="shared" si="210"/>
        <v>44856570.299999997</v>
      </c>
      <c r="AT74" s="11">
        <f t="shared" si="220"/>
        <v>0</v>
      </c>
      <c r="AU74" s="11">
        <f t="shared" si="211"/>
        <v>1331900</v>
      </c>
      <c r="AV74" s="545">
        <f t="shared" si="154"/>
        <v>977201.28</v>
      </c>
      <c r="AW74" s="11">
        <f t="shared" si="212"/>
        <v>917201.28</v>
      </c>
      <c r="AX74" s="11">
        <f t="shared" si="213"/>
        <v>0</v>
      </c>
      <c r="AY74" s="11">
        <f t="shared" si="213"/>
        <v>60000</v>
      </c>
      <c r="AZ74" s="18">
        <f t="shared" si="221"/>
        <v>0</v>
      </c>
      <c r="BA74" s="18">
        <f t="shared" si="214"/>
        <v>1391900</v>
      </c>
      <c r="BB74" s="19">
        <f t="shared" si="222"/>
        <v>45773771.579999998</v>
      </c>
      <c r="BC74" s="544">
        <f t="shared" si="223"/>
        <v>59597450.600000001</v>
      </c>
      <c r="BD74" s="544"/>
      <c r="BE74" s="11"/>
      <c r="BF74" s="445"/>
      <c r="BG74" s="439"/>
      <c r="BH74" s="439"/>
      <c r="BI74" s="11"/>
    </row>
    <row r="75" spans="1:61">
      <c r="A75" s="11">
        <v>4</v>
      </c>
      <c r="B75" s="14" t="s">
        <v>77</v>
      </c>
      <c r="C75" s="17">
        <v>3</v>
      </c>
      <c r="D75" s="17">
        <v>0.6</v>
      </c>
      <c r="E75" s="11">
        <v>677.2</v>
      </c>
      <c r="F75" s="11">
        <v>83.9</v>
      </c>
      <c r="G75" s="432">
        <v>18811.11</v>
      </c>
      <c r="H75" s="545">
        <f t="shared" si="215"/>
        <v>677.2</v>
      </c>
      <c r="I75" s="11">
        <f t="shared" si="199"/>
        <v>677.2</v>
      </c>
      <c r="J75" s="11"/>
      <c r="K75" s="11">
        <v>0</v>
      </c>
      <c r="L75" s="545">
        <f t="shared" si="200"/>
        <v>83.9</v>
      </c>
      <c r="M75" s="11">
        <f t="shared" si="216"/>
        <v>83.9</v>
      </c>
      <c r="N75" s="11"/>
      <c r="O75" s="861">
        <f t="shared" si="217"/>
        <v>0</v>
      </c>
      <c r="P75" s="444">
        <v>3</v>
      </c>
      <c r="Q75" s="17">
        <v>0.5</v>
      </c>
      <c r="R75" s="432">
        <v>18811.11</v>
      </c>
      <c r="S75" s="555">
        <f>ROUND(F75/D75/12*1000,2)</f>
        <v>11652.78</v>
      </c>
      <c r="T75" s="554">
        <f t="shared" si="218"/>
        <v>747116.6399999999</v>
      </c>
      <c r="U75" s="556">
        <f t="shared" si="201"/>
        <v>677199.96</v>
      </c>
      <c r="V75" s="433">
        <f t="shared" si="202"/>
        <v>677199.96</v>
      </c>
      <c r="W75" s="11"/>
      <c r="X75" s="11"/>
      <c r="Y75" s="556">
        <f t="shared" si="203"/>
        <v>69916.679999999993</v>
      </c>
      <c r="Z75" s="11">
        <f t="shared" si="204"/>
        <v>69916.679999999993</v>
      </c>
      <c r="AA75" s="11"/>
      <c r="AB75" s="11"/>
      <c r="AC75" s="554">
        <f t="shared" si="205"/>
        <v>747116.64</v>
      </c>
      <c r="AD75" s="433">
        <f t="shared" si="206"/>
        <v>747116.64</v>
      </c>
      <c r="AE75" s="11">
        <f t="shared" si="207"/>
        <v>0</v>
      </c>
      <c r="AF75" s="11">
        <f t="shared" si="207"/>
        <v>0</v>
      </c>
      <c r="AG75" s="544">
        <f t="shared" si="208"/>
        <v>972745.87</v>
      </c>
      <c r="AH75" s="11"/>
      <c r="AI75" s="1084"/>
      <c r="AJ75" s="850"/>
      <c r="AK75" s="850"/>
      <c r="AL75" s="441">
        <v>19203.2</v>
      </c>
      <c r="AM75" s="557">
        <v>14976.39</v>
      </c>
      <c r="AN75" s="1233">
        <f>AO75-P75</f>
        <v>6.1999999999999993</v>
      </c>
      <c r="AO75" s="17">
        <v>9.1999999999999993</v>
      </c>
      <c r="AP75" s="17">
        <v>1</v>
      </c>
      <c r="AQ75" s="554">
        <f t="shared" si="219"/>
        <v>2299749.98</v>
      </c>
      <c r="AR75" s="545">
        <f t="shared" si="34"/>
        <v>2120033.2999999998</v>
      </c>
      <c r="AS75" s="11">
        <f t="shared" si="210"/>
        <v>2041266.2999999998</v>
      </c>
      <c r="AT75" s="11">
        <f t="shared" si="220"/>
        <v>0</v>
      </c>
      <c r="AU75" s="11">
        <v>78767</v>
      </c>
      <c r="AV75" s="545">
        <f t="shared" si="154"/>
        <v>179716.68</v>
      </c>
      <c r="AW75" s="11">
        <f t="shared" si="212"/>
        <v>179716.68</v>
      </c>
      <c r="AX75" s="11">
        <f t="shared" si="213"/>
        <v>0</v>
      </c>
      <c r="AY75" s="11">
        <f t="shared" si="213"/>
        <v>0</v>
      </c>
      <c r="AZ75" s="18">
        <f t="shared" si="221"/>
        <v>0</v>
      </c>
      <c r="BA75" s="18">
        <v>78767</v>
      </c>
      <c r="BB75" s="19">
        <f t="shared" si="222"/>
        <v>2220982.98</v>
      </c>
      <c r="BC75" s="544">
        <f t="shared" si="223"/>
        <v>2891719.8</v>
      </c>
      <c r="BD75" s="544"/>
      <c r="BE75" s="11"/>
      <c r="BF75" s="445"/>
      <c r="BG75" s="439"/>
      <c r="BH75" s="439"/>
      <c r="BI75" s="11"/>
    </row>
    <row r="76" spans="1:61">
      <c r="A76" s="11">
        <v>5</v>
      </c>
      <c r="B76" s="13" t="s">
        <v>73</v>
      </c>
      <c r="C76" s="17">
        <v>1</v>
      </c>
      <c r="D76" s="17"/>
      <c r="E76" s="11">
        <v>192.1</v>
      </c>
      <c r="F76" s="11"/>
      <c r="G76" s="555">
        <v>16008.33</v>
      </c>
      <c r="H76" s="545">
        <f t="shared" si="215"/>
        <v>192.1</v>
      </c>
      <c r="I76" s="11">
        <f t="shared" si="199"/>
        <v>192.1</v>
      </c>
      <c r="J76" s="11"/>
      <c r="K76" s="11">
        <v>0</v>
      </c>
      <c r="L76" s="545">
        <f t="shared" si="200"/>
        <v>0</v>
      </c>
      <c r="M76" s="11">
        <f t="shared" si="216"/>
        <v>0</v>
      </c>
      <c r="N76" s="11"/>
      <c r="O76" s="861">
        <f t="shared" si="217"/>
        <v>0</v>
      </c>
      <c r="P76" s="444">
        <v>1</v>
      </c>
      <c r="Q76" s="17"/>
      <c r="R76" s="555">
        <v>16008.33</v>
      </c>
      <c r="S76" s="555"/>
      <c r="T76" s="554">
        <f t="shared" si="218"/>
        <v>192099.96</v>
      </c>
      <c r="U76" s="556">
        <f t="shared" si="201"/>
        <v>192099.96</v>
      </c>
      <c r="V76" s="433">
        <f t="shared" si="202"/>
        <v>192099.96</v>
      </c>
      <c r="W76" s="11"/>
      <c r="X76" s="11"/>
      <c r="Y76" s="556">
        <f t="shared" si="203"/>
        <v>0</v>
      </c>
      <c r="Z76" s="11">
        <f t="shared" si="204"/>
        <v>0</v>
      </c>
      <c r="AA76" s="11"/>
      <c r="AB76" s="11"/>
      <c r="AC76" s="554">
        <f t="shared" si="205"/>
        <v>192099.96</v>
      </c>
      <c r="AD76" s="433">
        <f t="shared" si="206"/>
        <v>192099.96</v>
      </c>
      <c r="AE76" s="11">
        <f t="shared" si="207"/>
        <v>0</v>
      </c>
      <c r="AF76" s="11">
        <f t="shared" si="207"/>
        <v>0</v>
      </c>
      <c r="AG76" s="544">
        <f t="shared" si="208"/>
        <v>250114.15</v>
      </c>
      <c r="AH76" s="11"/>
      <c r="AI76" s="1084"/>
      <c r="AJ76" s="850"/>
      <c r="AK76" s="850"/>
      <c r="AL76" s="557">
        <v>16008.33</v>
      </c>
      <c r="AM76" s="557">
        <f t="shared" si="209"/>
        <v>0</v>
      </c>
      <c r="AN76" s="1233"/>
      <c r="AO76" s="17">
        <v>1</v>
      </c>
      <c r="AP76" s="17"/>
      <c r="AQ76" s="554">
        <f t="shared" si="219"/>
        <v>192100</v>
      </c>
      <c r="AR76" s="545">
        <f t="shared" si="34"/>
        <v>192100</v>
      </c>
      <c r="AS76" s="11">
        <f t="shared" si="210"/>
        <v>192100</v>
      </c>
      <c r="AT76" s="11">
        <f t="shared" si="220"/>
        <v>0</v>
      </c>
      <c r="AU76" s="11">
        <f t="shared" si="211"/>
        <v>0</v>
      </c>
      <c r="AV76" s="545">
        <f t="shared" si="154"/>
        <v>0</v>
      </c>
      <c r="AW76" s="11">
        <f t="shared" si="212"/>
        <v>0</v>
      </c>
      <c r="AX76" s="11">
        <f t="shared" si="213"/>
        <v>0</v>
      </c>
      <c r="AY76" s="11">
        <f t="shared" si="213"/>
        <v>0</v>
      </c>
      <c r="AZ76" s="18">
        <f t="shared" si="221"/>
        <v>0</v>
      </c>
      <c r="BA76" s="18">
        <f t="shared" si="214"/>
        <v>0</v>
      </c>
      <c r="BB76" s="19">
        <f t="shared" si="222"/>
        <v>192100</v>
      </c>
      <c r="BC76" s="544">
        <f t="shared" si="223"/>
        <v>250114.2</v>
      </c>
      <c r="BD76" s="544"/>
      <c r="BE76" s="11"/>
      <c r="BF76" s="445"/>
      <c r="BG76" s="439"/>
      <c r="BH76" s="439"/>
      <c r="BI76" s="11"/>
    </row>
    <row r="77" spans="1:61">
      <c r="A77" s="11">
        <v>6</v>
      </c>
      <c r="B77" s="13" t="s">
        <v>74</v>
      </c>
      <c r="C77" s="17">
        <v>1</v>
      </c>
      <c r="D77" s="17">
        <v>0.1</v>
      </c>
      <c r="E77" s="11">
        <v>112.5</v>
      </c>
      <c r="F77" s="11">
        <v>9.1</v>
      </c>
      <c r="G77" s="555">
        <v>9375</v>
      </c>
      <c r="H77" s="545">
        <f t="shared" si="215"/>
        <v>112.5</v>
      </c>
      <c r="I77" s="11">
        <f t="shared" si="199"/>
        <v>112.5</v>
      </c>
      <c r="J77" s="11"/>
      <c r="K77" s="11"/>
      <c r="L77" s="545">
        <f t="shared" si="200"/>
        <v>9.1</v>
      </c>
      <c r="M77" s="11">
        <f t="shared" si="216"/>
        <v>9.1</v>
      </c>
      <c r="N77" s="11"/>
      <c r="O77" s="861">
        <f t="shared" si="217"/>
        <v>-1</v>
      </c>
      <c r="P77" s="444"/>
      <c r="Q77" s="17">
        <v>0.5</v>
      </c>
      <c r="R77" s="555"/>
      <c r="S77" s="555">
        <v>6350</v>
      </c>
      <c r="T77" s="554">
        <f t="shared" si="218"/>
        <v>38100</v>
      </c>
      <c r="U77" s="556">
        <f t="shared" si="201"/>
        <v>0</v>
      </c>
      <c r="V77" s="433">
        <f t="shared" si="202"/>
        <v>0</v>
      </c>
      <c r="W77" s="11"/>
      <c r="X77" s="11"/>
      <c r="Y77" s="556">
        <f t="shared" si="203"/>
        <v>38100</v>
      </c>
      <c r="Z77" s="11">
        <f t="shared" si="204"/>
        <v>38100</v>
      </c>
      <c r="AA77" s="11"/>
      <c r="AB77" s="11"/>
      <c r="AC77" s="554">
        <f t="shared" si="205"/>
        <v>38100</v>
      </c>
      <c r="AD77" s="433">
        <f t="shared" si="206"/>
        <v>38100</v>
      </c>
      <c r="AE77" s="11">
        <f t="shared" si="207"/>
        <v>0</v>
      </c>
      <c r="AF77" s="11">
        <f t="shared" si="207"/>
        <v>0</v>
      </c>
      <c r="AG77" s="544">
        <f t="shared" si="208"/>
        <v>49606.2</v>
      </c>
      <c r="AH77" s="11"/>
      <c r="AI77" s="1084"/>
      <c r="AJ77" s="850"/>
      <c r="AK77" s="850"/>
      <c r="AL77" s="557"/>
      <c r="AM77" s="557">
        <f t="shared" si="209"/>
        <v>6350</v>
      </c>
      <c r="AN77" s="1233"/>
      <c r="AO77" s="17"/>
      <c r="AP77" s="17">
        <v>0.5</v>
      </c>
      <c r="AQ77" s="554">
        <f t="shared" si="219"/>
        <v>38100</v>
      </c>
      <c r="AR77" s="545">
        <f t="shared" si="34"/>
        <v>0</v>
      </c>
      <c r="AS77" s="11">
        <f t="shared" si="210"/>
        <v>0</v>
      </c>
      <c r="AT77" s="11">
        <f t="shared" si="220"/>
        <v>0</v>
      </c>
      <c r="AU77" s="11">
        <f t="shared" si="211"/>
        <v>0</v>
      </c>
      <c r="AV77" s="545">
        <f t="shared" si="154"/>
        <v>38100</v>
      </c>
      <c r="AW77" s="11">
        <f t="shared" si="212"/>
        <v>38100</v>
      </c>
      <c r="AX77" s="11">
        <f t="shared" si="213"/>
        <v>0</v>
      </c>
      <c r="AY77" s="11">
        <f t="shared" si="213"/>
        <v>0</v>
      </c>
      <c r="AZ77" s="18">
        <f t="shared" si="221"/>
        <v>0</v>
      </c>
      <c r="BA77" s="18">
        <f t="shared" si="214"/>
        <v>0</v>
      </c>
      <c r="BB77" s="19">
        <f t="shared" si="222"/>
        <v>38100</v>
      </c>
      <c r="BC77" s="544">
        <f t="shared" si="223"/>
        <v>49606.2</v>
      </c>
      <c r="BD77" s="544"/>
      <c r="BE77" s="11"/>
      <c r="BF77" s="445"/>
      <c r="BG77" s="439"/>
      <c r="BH77" s="439"/>
      <c r="BI77" s="11"/>
    </row>
    <row r="78" spans="1:61">
      <c r="A78" s="11">
        <v>7</v>
      </c>
      <c r="B78" s="1131" t="s">
        <v>814</v>
      </c>
      <c r="C78" s="17">
        <v>150</v>
      </c>
      <c r="D78" s="17">
        <v>12.4</v>
      </c>
      <c r="E78" s="11">
        <v>16497.3</v>
      </c>
      <c r="F78" s="11">
        <v>1140.0999999999999</v>
      </c>
      <c r="G78" s="555">
        <v>9165.17</v>
      </c>
      <c r="H78" s="545">
        <f t="shared" si="215"/>
        <v>16497.3</v>
      </c>
      <c r="I78" s="11">
        <f t="shared" si="199"/>
        <v>16497.3</v>
      </c>
      <c r="J78" s="11"/>
      <c r="K78" s="11">
        <v>0</v>
      </c>
      <c r="L78" s="545">
        <f t="shared" si="200"/>
        <v>1140.0999999999999</v>
      </c>
      <c r="M78" s="11">
        <f t="shared" si="216"/>
        <v>1140.0999999999999</v>
      </c>
      <c r="N78" s="11"/>
      <c r="O78" s="861">
        <f t="shared" si="217"/>
        <v>0.5</v>
      </c>
      <c r="P78" s="444">
        <v>150.5</v>
      </c>
      <c r="Q78" s="17">
        <v>13.2</v>
      </c>
      <c r="R78" s="555">
        <v>9685.24</v>
      </c>
      <c r="S78" s="555">
        <v>7832.94</v>
      </c>
      <c r="T78" s="554">
        <f t="shared" si="218"/>
        <v>18732281.140000001</v>
      </c>
      <c r="U78" s="556">
        <f t="shared" si="201"/>
        <v>17491543.440000001</v>
      </c>
      <c r="V78" s="433">
        <f t="shared" si="202"/>
        <v>17491543.440000001</v>
      </c>
      <c r="W78" s="11"/>
      <c r="X78" s="11"/>
      <c r="Y78" s="556">
        <f t="shared" si="203"/>
        <v>1240737.7</v>
      </c>
      <c r="Z78" s="11">
        <f t="shared" si="204"/>
        <v>1240737.7</v>
      </c>
      <c r="AA78" s="11"/>
      <c r="AB78" s="11"/>
      <c r="AC78" s="554">
        <f t="shared" si="205"/>
        <v>18732281.140000001</v>
      </c>
      <c r="AD78" s="433">
        <f t="shared" si="206"/>
        <v>18732281.140000001</v>
      </c>
      <c r="AE78" s="11">
        <f t="shared" si="207"/>
        <v>0</v>
      </c>
      <c r="AF78" s="11">
        <f t="shared" si="207"/>
        <v>0</v>
      </c>
      <c r="AG78" s="544">
        <f t="shared" si="208"/>
        <v>24389430.039999999</v>
      </c>
      <c r="AH78" s="11"/>
      <c r="AI78" s="1084"/>
      <c r="AJ78" s="850"/>
      <c r="AK78" s="850"/>
      <c r="AL78" s="557">
        <v>10097.9</v>
      </c>
      <c r="AM78" s="557">
        <v>7849.32</v>
      </c>
      <c r="AN78" s="1233">
        <f>AO78-P78</f>
        <v>24.5</v>
      </c>
      <c r="AO78" s="17">
        <v>175</v>
      </c>
      <c r="AP78" s="17">
        <v>15.6</v>
      </c>
      <c r="AQ78" s="554">
        <f t="shared" si="219"/>
        <v>22674982.699999999</v>
      </c>
      <c r="AR78" s="545">
        <f t="shared" si="34"/>
        <v>21205590</v>
      </c>
      <c r="AS78" s="11">
        <f t="shared" si="210"/>
        <v>21205590</v>
      </c>
      <c r="AT78" s="11">
        <f t="shared" si="220"/>
        <v>0</v>
      </c>
      <c r="AU78" s="11">
        <f t="shared" si="211"/>
        <v>0</v>
      </c>
      <c r="AV78" s="545">
        <f t="shared" si="154"/>
        <v>1469392.7</v>
      </c>
      <c r="AW78" s="11">
        <f t="shared" si="212"/>
        <v>1469392.7</v>
      </c>
      <c r="AX78" s="11">
        <f t="shared" si="213"/>
        <v>0</v>
      </c>
      <c r="AY78" s="11">
        <f t="shared" si="213"/>
        <v>0</v>
      </c>
      <c r="AZ78" s="18">
        <f t="shared" si="221"/>
        <v>0</v>
      </c>
      <c r="BA78" s="18">
        <f t="shared" si="214"/>
        <v>0</v>
      </c>
      <c r="BB78" s="19">
        <f t="shared" si="222"/>
        <v>22674982.699999999</v>
      </c>
      <c r="BC78" s="544">
        <f t="shared" si="223"/>
        <v>29522827.5</v>
      </c>
      <c r="BD78" s="544"/>
      <c r="BE78" s="11"/>
      <c r="BF78" s="445"/>
      <c r="BG78" s="439"/>
      <c r="BH78" s="439"/>
      <c r="BI78" s="11"/>
    </row>
    <row r="79" spans="1:61">
      <c r="A79" s="11"/>
      <c r="B79" s="1132" t="s">
        <v>815</v>
      </c>
      <c r="C79" s="17"/>
      <c r="D79" s="17"/>
      <c r="E79" s="11"/>
      <c r="F79" s="11"/>
      <c r="G79" s="555"/>
      <c r="H79" s="545"/>
      <c r="I79" s="11"/>
      <c r="J79" s="11"/>
      <c r="K79" s="11"/>
      <c r="L79" s="545"/>
      <c r="M79" s="11"/>
      <c r="N79" s="11"/>
      <c r="O79" s="861"/>
      <c r="P79" s="444"/>
      <c r="Q79" s="17"/>
      <c r="R79" s="555"/>
      <c r="S79" s="555"/>
      <c r="T79" s="554"/>
      <c r="U79" s="556"/>
      <c r="V79" s="433"/>
      <c r="W79" s="11"/>
      <c r="X79" s="11"/>
      <c r="Y79" s="556"/>
      <c r="Z79" s="11"/>
      <c r="AA79" s="11"/>
      <c r="AB79" s="11"/>
      <c r="AC79" s="554"/>
      <c r="AD79" s="433"/>
      <c r="AE79" s="11"/>
      <c r="AF79" s="11"/>
      <c r="AG79" s="544"/>
      <c r="AH79" s="11"/>
      <c r="AI79" s="1084"/>
      <c r="AJ79" s="850"/>
      <c r="AK79" s="850"/>
      <c r="AL79" s="557"/>
      <c r="AM79" s="557"/>
      <c r="AN79" s="1233"/>
      <c r="AO79" s="17"/>
      <c r="AP79" s="17"/>
      <c r="AQ79" s="554"/>
      <c r="AR79" s="545"/>
      <c r="AS79" s="11"/>
      <c r="AT79" s="11"/>
      <c r="AU79" s="11"/>
      <c r="AV79" s="545"/>
      <c r="AW79" s="11"/>
      <c r="AX79" s="11"/>
      <c r="AY79" s="11"/>
      <c r="AZ79" s="18"/>
      <c r="BA79" s="18"/>
      <c r="BB79" s="19"/>
      <c r="BC79" s="544"/>
      <c r="BD79" s="544"/>
      <c r="BE79" s="1045"/>
      <c r="BF79" s="445"/>
      <c r="BG79" s="1130"/>
      <c r="BH79" s="1130"/>
      <c r="BI79" s="11"/>
    </row>
    <row r="80" spans="1:61" ht="19.149999999999999" customHeight="1">
      <c r="A80" s="684">
        <v>8</v>
      </c>
      <c r="B80" s="685" t="s">
        <v>94</v>
      </c>
      <c r="C80" s="684">
        <f>C81+C82+C83+C84+C85+C86+C87</f>
        <v>326.79999999999995</v>
      </c>
      <c r="D80" s="684">
        <f>D81+D82+D83+D84+D85+D86+D87</f>
        <v>10.7</v>
      </c>
      <c r="E80" s="684">
        <f>SUM(E81:E87)</f>
        <v>73718.200000000012</v>
      </c>
      <c r="F80" s="684">
        <f t="shared" ref="F80:AG80" si="224">F81+F82+F83+F84+F85+F86+F87</f>
        <v>1492.1</v>
      </c>
      <c r="G80" s="686">
        <v>18797.990000000002</v>
      </c>
      <c r="H80" s="684">
        <f t="shared" si="224"/>
        <v>73718.200000000012</v>
      </c>
      <c r="I80" s="684">
        <f t="shared" si="224"/>
        <v>71606.799999999988</v>
      </c>
      <c r="J80" s="684">
        <f t="shared" si="224"/>
        <v>0</v>
      </c>
      <c r="K80" s="684">
        <f t="shared" si="224"/>
        <v>2111.3999999999996</v>
      </c>
      <c r="L80" s="684">
        <f t="shared" si="224"/>
        <v>1492.1</v>
      </c>
      <c r="M80" s="684">
        <f t="shared" si="224"/>
        <v>1492.1</v>
      </c>
      <c r="N80" s="684">
        <f t="shared" si="224"/>
        <v>0</v>
      </c>
      <c r="O80" s="687">
        <f t="shared" si="224"/>
        <v>0.50000000000001421</v>
      </c>
      <c r="P80" s="688">
        <f t="shared" si="224"/>
        <v>327.3</v>
      </c>
      <c r="Q80" s="684">
        <f t="shared" si="224"/>
        <v>14.3</v>
      </c>
      <c r="R80" s="686">
        <v>18797.990000000002</v>
      </c>
      <c r="S80" s="686"/>
      <c r="T80" s="689">
        <f>SUM(T81:T87)</f>
        <v>73278716.890000001</v>
      </c>
      <c r="U80" s="690">
        <f t="shared" ref="U80:AB80" si="225">U81+U82+U83+U84+U85+U86+U87</f>
        <v>71537317.140000001</v>
      </c>
      <c r="V80" s="684">
        <f t="shared" si="225"/>
        <v>69037717.140000001</v>
      </c>
      <c r="W80" s="684">
        <f t="shared" si="225"/>
        <v>0</v>
      </c>
      <c r="X80" s="684">
        <f t="shared" si="225"/>
        <v>2499600</v>
      </c>
      <c r="Y80" s="684">
        <f t="shared" si="225"/>
        <v>1741399.75</v>
      </c>
      <c r="Z80" s="684">
        <f t="shared" si="225"/>
        <v>1741399.75</v>
      </c>
      <c r="AA80" s="684">
        <f t="shared" si="225"/>
        <v>0</v>
      </c>
      <c r="AB80" s="684">
        <f t="shared" si="225"/>
        <v>0</v>
      </c>
      <c r="AC80" s="684">
        <f t="shared" si="224"/>
        <v>73278716.890000001</v>
      </c>
      <c r="AD80" s="684">
        <f t="shared" si="224"/>
        <v>70779116.890000001</v>
      </c>
      <c r="AE80" s="684">
        <f t="shared" si="224"/>
        <v>0</v>
      </c>
      <c r="AF80" s="684">
        <f t="shared" si="224"/>
        <v>2499600</v>
      </c>
      <c r="AG80" s="684">
        <f t="shared" si="224"/>
        <v>92154410.190000013</v>
      </c>
      <c r="AH80" s="686">
        <v>3782500</v>
      </c>
      <c r="AI80" s="1091">
        <v>95936915.140000001</v>
      </c>
      <c r="AJ80" s="765">
        <f>AH80+AG80</f>
        <v>95936910.190000013</v>
      </c>
      <c r="AK80" s="876">
        <f>AJ80-AI80</f>
        <v>-4.949999988079071</v>
      </c>
      <c r="AL80" s="692">
        <v>18797.990000000002</v>
      </c>
      <c r="AM80" s="692">
        <f t="shared" ref="AM80:AM150" si="226">S80</f>
        <v>0</v>
      </c>
      <c r="AN80" s="684">
        <f>AN81+AN82+AN83+AN84+AN85+AN86+AN87</f>
        <v>7.5</v>
      </c>
      <c r="AO80" s="684">
        <f>AO81+AO82+AO83+AO84+AO85+AO86+AO87</f>
        <v>334.8</v>
      </c>
      <c r="AP80" s="684">
        <f t="shared" ref="AP80:BC80" si="227">AP81+AP82+AP83+AP84+AP85+AP86+AP87</f>
        <v>14.3</v>
      </c>
      <c r="AQ80" s="689">
        <f>SUM(AQ81:AQ87)</f>
        <v>70561974.849999994</v>
      </c>
      <c r="AR80" s="684">
        <f t="shared" si="34"/>
        <v>75522804.599999994</v>
      </c>
      <c r="AS80" s="684">
        <f t="shared" si="227"/>
        <v>68817895.5</v>
      </c>
      <c r="AT80" s="684">
        <f t="shared" si="227"/>
        <v>0</v>
      </c>
      <c r="AU80" s="684">
        <f t="shared" si="227"/>
        <v>2679.6</v>
      </c>
      <c r="AV80" s="684">
        <f t="shared" si="154"/>
        <v>0</v>
      </c>
      <c r="AW80" s="684">
        <f>AW81+AW82+AW83+AW84+AW85+AW86+AW87</f>
        <v>1741399.75</v>
      </c>
      <c r="AX80" s="684">
        <f t="shared" si="227"/>
        <v>0</v>
      </c>
      <c r="AY80" s="684">
        <f t="shared" si="227"/>
        <v>0</v>
      </c>
      <c r="AZ80" s="684">
        <f t="shared" si="227"/>
        <v>0</v>
      </c>
      <c r="BA80" s="684">
        <f t="shared" si="227"/>
        <v>2679.6</v>
      </c>
      <c r="BB80" s="684">
        <f t="shared" si="227"/>
        <v>70559295.25</v>
      </c>
      <c r="BC80" s="684">
        <f t="shared" si="227"/>
        <v>91868202.400000006</v>
      </c>
      <c r="BD80" s="686">
        <v>6011873.8700000001</v>
      </c>
      <c r="BE80" s="693">
        <f>BD80+BC80</f>
        <v>97880076.270000011</v>
      </c>
      <c r="BF80" s="691">
        <v>95936915.140000001</v>
      </c>
      <c r="BG80" s="868">
        <f>BE80-BF80</f>
        <v>1943161.1300000101</v>
      </c>
      <c r="BH80" s="875">
        <f>AG80+AH80</f>
        <v>95936910.190000013</v>
      </c>
      <c r="BI80" s="876">
        <f>BH80-AI80</f>
        <v>-4.949999988079071</v>
      </c>
    </row>
    <row r="81" spans="1:61">
      <c r="A81" s="11">
        <v>1</v>
      </c>
      <c r="B81" s="694" t="s">
        <v>71</v>
      </c>
      <c r="C81" s="695">
        <v>9</v>
      </c>
      <c r="D81" s="695"/>
      <c r="E81" s="11">
        <v>5239.5</v>
      </c>
      <c r="F81" s="11"/>
      <c r="G81" s="696">
        <v>48513.89</v>
      </c>
      <c r="H81" s="684">
        <f>I81+J81+K81</f>
        <v>5239.5</v>
      </c>
      <c r="I81" s="11">
        <f t="shared" ref="I81:I87" si="228">E81-K81-J81</f>
        <v>5097.2</v>
      </c>
      <c r="J81" s="11"/>
      <c r="K81" s="11">
        <v>142.30000000000001</v>
      </c>
      <c r="L81" s="545">
        <f t="shared" ref="L81:L87" si="229">M81+N81</f>
        <v>0</v>
      </c>
      <c r="M81" s="11">
        <f>F81-N81</f>
        <v>0</v>
      </c>
      <c r="N81" s="11"/>
      <c r="O81" s="861">
        <f>P81-C81</f>
        <v>0</v>
      </c>
      <c r="P81" s="697">
        <v>9</v>
      </c>
      <c r="Q81" s="695"/>
      <c r="R81" s="696">
        <v>42800</v>
      </c>
      <c r="S81" s="696"/>
      <c r="T81" s="698">
        <f>U81+Y81</f>
        <v>4622400</v>
      </c>
      <c r="U81" s="699">
        <f t="shared" ref="U81:U87" si="230">ROUND(R81*P81*12,2)</f>
        <v>4622400</v>
      </c>
      <c r="V81" s="433">
        <f>U81-W81-X81</f>
        <v>4433000</v>
      </c>
      <c r="W81" s="11"/>
      <c r="X81" s="11">
        <f>189.4*1000</f>
        <v>189400</v>
      </c>
      <c r="Y81" s="699">
        <f t="shared" ref="Y81:Y87" si="231">ROUND(S81*Q81*12,2)</f>
        <v>0</v>
      </c>
      <c r="Z81" s="11">
        <f t="shared" ref="Z81:Z87" si="232">Y81-AA81-AB81</f>
        <v>0</v>
      </c>
      <c r="AA81" s="11"/>
      <c r="AB81" s="11"/>
      <c r="AC81" s="698">
        <f t="shared" ref="AC81:AC87" si="233">AD81+AE81+AF81</f>
        <v>4622400</v>
      </c>
      <c r="AD81" s="433">
        <f t="shared" ref="AD81:AD87" si="234">ROUND((Z81+V81),2)</f>
        <v>4433000</v>
      </c>
      <c r="AE81" s="11">
        <f t="shared" ref="AE81:AF87" si="235">AA81+W81</f>
        <v>0</v>
      </c>
      <c r="AF81" s="11">
        <f t="shared" si="235"/>
        <v>189400</v>
      </c>
      <c r="AG81" s="700">
        <f t="shared" ref="AG81:AG87" si="236">ROUND(AD81*1.302,2)</f>
        <v>5771766</v>
      </c>
      <c r="AH81" s="765">
        <v>3782500</v>
      </c>
      <c r="AI81" s="1082"/>
      <c r="AJ81" s="910"/>
      <c r="AK81" s="910"/>
      <c r="AL81" s="702">
        <v>40684.26</v>
      </c>
      <c r="AM81" s="702">
        <f t="shared" si="226"/>
        <v>0</v>
      </c>
      <c r="AN81" s="1233"/>
      <c r="AO81" s="697">
        <v>9</v>
      </c>
      <c r="AP81" s="695"/>
      <c r="AQ81" s="698">
        <f>AR81+AV81</f>
        <v>4393900.0999999996</v>
      </c>
      <c r="AR81" s="684">
        <f t="shared" si="34"/>
        <v>4393900.0999999996</v>
      </c>
      <c r="AS81" s="11">
        <f t="shared" ref="AS81:AS87" si="237">AR81-AT81-AU81</f>
        <v>4393690.6999999993</v>
      </c>
      <c r="AT81" s="11">
        <f>W81</f>
        <v>0</v>
      </c>
      <c r="AU81" s="11">
        <v>209.4</v>
      </c>
      <c r="AV81" s="684">
        <f t="shared" si="154"/>
        <v>0</v>
      </c>
      <c r="AW81" s="11">
        <f t="shared" ref="AW81:AW87" si="238">AV81-AX81-AY81</f>
        <v>0</v>
      </c>
      <c r="AX81" s="11">
        <f t="shared" ref="AX81:AY87" si="239">AA81</f>
        <v>0</v>
      </c>
      <c r="AY81" s="11">
        <f t="shared" si="239"/>
        <v>0</v>
      </c>
      <c r="AZ81" s="18">
        <f>AX81+AT81</f>
        <v>0</v>
      </c>
      <c r="BA81" s="18">
        <f t="shared" ref="BA81:BA87" si="240">AY81+AU81</f>
        <v>209.4</v>
      </c>
      <c r="BB81" s="703">
        <f>AW81+AS81</f>
        <v>4393690.6999999993</v>
      </c>
      <c r="BC81" s="700">
        <f>ROUND(BB81*1.302,1)</f>
        <v>5720585.2999999998</v>
      </c>
      <c r="BD81" s="700"/>
      <c r="BE81" s="11"/>
      <c r="BF81" s="701"/>
      <c r="BG81" s="439"/>
      <c r="BH81" s="439"/>
      <c r="BI81" s="11"/>
    </row>
    <row r="82" spans="1:61">
      <c r="A82" s="11">
        <v>2</v>
      </c>
      <c r="B82" s="694" t="s">
        <v>72</v>
      </c>
      <c r="C82" s="695">
        <v>22.8</v>
      </c>
      <c r="D82" s="695">
        <v>0.3</v>
      </c>
      <c r="E82" s="11">
        <v>10233.4</v>
      </c>
      <c r="F82" s="11">
        <v>74.900000000000006</v>
      </c>
      <c r="G82" s="696">
        <v>37402.78</v>
      </c>
      <c r="H82" s="684">
        <f t="shared" ref="H82:H87" si="241">I82+J82+K82</f>
        <v>10233.4</v>
      </c>
      <c r="I82" s="11">
        <f t="shared" si="228"/>
        <v>9953.4</v>
      </c>
      <c r="J82" s="11"/>
      <c r="K82" s="11">
        <v>280</v>
      </c>
      <c r="L82" s="545">
        <f t="shared" si="229"/>
        <v>74.900000000000006</v>
      </c>
      <c r="M82" s="11">
        <f t="shared" ref="M82:M87" si="242">F82-N82</f>
        <v>74.900000000000006</v>
      </c>
      <c r="N82" s="11"/>
      <c r="O82" s="861">
        <f t="shared" ref="O82:O87" si="243">P82-C82</f>
        <v>-2.8000000000000007</v>
      </c>
      <c r="P82" s="697">
        <v>20</v>
      </c>
      <c r="Q82" s="695">
        <v>1</v>
      </c>
      <c r="R82" s="696">
        <v>35000</v>
      </c>
      <c r="S82" s="696">
        <v>17600</v>
      </c>
      <c r="T82" s="698">
        <f t="shared" ref="T82:T87" si="244">U82+Y82</f>
        <v>8611200</v>
      </c>
      <c r="U82" s="699">
        <f t="shared" si="230"/>
        <v>8400000</v>
      </c>
      <c r="V82" s="433">
        <f t="shared" ref="V82:V87" si="245">U82-W82-X82</f>
        <v>8121400</v>
      </c>
      <c r="W82" s="11"/>
      <c r="X82" s="11">
        <f>278.6*1000</f>
        <v>278600</v>
      </c>
      <c r="Y82" s="699">
        <f t="shared" si="231"/>
        <v>211200</v>
      </c>
      <c r="Z82" s="11">
        <f t="shared" si="232"/>
        <v>211200</v>
      </c>
      <c r="AA82" s="11"/>
      <c r="AB82" s="11"/>
      <c r="AC82" s="698">
        <f t="shared" si="233"/>
        <v>8611200</v>
      </c>
      <c r="AD82" s="433">
        <f t="shared" si="234"/>
        <v>8332600</v>
      </c>
      <c r="AE82" s="11">
        <f t="shared" si="235"/>
        <v>0</v>
      </c>
      <c r="AF82" s="11">
        <f t="shared" si="235"/>
        <v>278600</v>
      </c>
      <c r="AG82" s="700">
        <f t="shared" si="236"/>
        <v>10849045.199999999</v>
      </c>
      <c r="AH82" s="11"/>
      <c r="AI82" s="1082"/>
      <c r="AJ82" s="910"/>
      <c r="AK82" s="910"/>
      <c r="AL82" s="702">
        <v>25845.42</v>
      </c>
      <c r="AM82" s="702">
        <f t="shared" si="226"/>
        <v>17600</v>
      </c>
      <c r="AN82" s="1233">
        <f>AO82-P82</f>
        <v>0.5</v>
      </c>
      <c r="AO82" s="697">
        <v>20.5</v>
      </c>
      <c r="AP82" s="695">
        <v>1</v>
      </c>
      <c r="AQ82" s="698">
        <f t="shared" ref="AQ82:AQ87" si="246">AR82+AV82</f>
        <v>6569173.2999999998</v>
      </c>
      <c r="AR82" s="684">
        <f t="shared" ref="AR82:AR114" si="247">ROUND((AL82*AO82*12),1)</f>
        <v>6357973.2999999998</v>
      </c>
      <c r="AS82" s="11">
        <f t="shared" si="237"/>
        <v>6357664.7000000002</v>
      </c>
      <c r="AT82" s="11">
        <f t="shared" ref="AT82:AT87" si="248">W82</f>
        <v>0</v>
      </c>
      <c r="AU82" s="11">
        <v>308.60000000000002</v>
      </c>
      <c r="AV82" s="684">
        <f t="shared" si="154"/>
        <v>211200</v>
      </c>
      <c r="AW82" s="11">
        <f t="shared" si="238"/>
        <v>211200</v>
      </c>
      <c r="AX82" s="11">
        <f t="shared" si="239"/>
        <v>0</v>
      </c>
      <c r="AY82" s="11">
        <f t="shared" si="239"/>
        <v>0</v>
      </c>
      <c r="AZ82" s="18">
        <f t="shared" ref="AZ82:AZ87" si="249">AX82+AT82</f>
        <v>0</v>
      </c>
      <c r="BA82" s="18">
        <f t="shared" si="240"/>
        <v>308.60000000000002</v>
      </c>
      <c r="BB82" s="703">
        <f t="shared" ref="BB82:BB87" si="250">AW82+AS82</f>
        <v>6568864.7000000002</v>
      </c>
      <c r="BC82" s="700">
        <f t="shared" ref="BC82:BC87" si="251">ROUND(BB82*1.302,1)</f>
        <v>8552661.8000000007</v>
      </c>
      <c r="BD82" s="700"/>
      <c r="BE82" s="11"/>
      <c r="BF82" s="701"/>
      <c r="BG82" s="439"/>
      <c r="BH82" s="439"/>
      <c r="BI82" s="11"/>
    </row>
    <row r="83" spans="1:61">
      <c r="A83" s="11">
        <v>3</v>
      </c>
      <c r="B83" s="704" t="s">
        <v>76</v>
      </c>
      <c r="C83" s="695">
        <v>125.6</v>
      </c>
      <c r="D83" s="695">
        <v>3.5</v>
      </c>
      <c r="E83" s="11">
        <v>32932.400000000001</v>
      </c>
      <c r="F83" s="11">
        <v>722.6</v>
      </c>
      <c r="G83" s="705">
        <v>21850.05</v>
      </c>
      <c r="H83" s="684">
        <f t="shared" si="241"/>
        <v>32932.400000000001</v>
      </c>
      <c r="I83" s="11">
        <f t="shared" si="228"/>
        <v>31411.100000000002</v>
      </c>
      <c r="J83" s="11"/>
      <c r="K83" s="11">
        <v>1521.3</v>
      </c>
      <c r="L83" s="545">
        <f t="shared" si="229"/>
        <v>722.6</v>
      </c>
      <c r="M83" s="11">
        <f t="shared" si="242"/>
        <v>722.6</v>
      </c>
      <c r="N83" s="11"/>
      <c r="O83" s="861">
        <f t="shared" si="243"/>
        <v>-3.2999999999999972</v>
      </c>
      <c r="P83" s="697">
        <v>122.3</v>
      </c>
      <c r="Q83" s="695">
        <v>4.5</v>
      </c>
      <c r="R83" s="705">
        <v>21850.05</v>
      </c>
      <c r="S83" s="696">
        <v>11759.26</v>
      </c>
      <c r="T83" s="698">
        <f t="shared" si="244"/>
        <v>32702133.419999998</v>
      </c>
      <c r="U83" s="699">
        <f t="shared" si="230"/>
        <v>32067133.379999999</v>
      </c>
      <c r="V83" s="433">
        <f t="shared" si="245"/>
        <v>30189933.379999999</v>
      </c>
      <c r="W83" s="11"/>
      <c r="X83" s="11">
        <f>1877.2*1000</f>
        <v>1877200</v>
      </c>
      <c r="Y83" s="699">
        <f t="shared" si="231"/>
        <v>635000.04</v>
      </c>
      <c r="Z83" s="11">
        <f t="shared" si="232"/>
        <v>635000.04</v>
      </c>
      <c r="AA83" s="11"/>
      <c r="AB83" s="11"/>
      <c r="AC83" s="698">
        <f t="shared" si="233"/>
        <v>32702133.420000002</v>
      </c>
      <c r="AD83" s="433">
        <f t="shared" si="234"/>
        <v>30824933.420000002</v>
      </c>
      <c r="AE83" s="11">
        <f t="shared" si="235"/>
        <v>0</v>
      </c>
      <c r="AF83" s="11">
        <f t="shared" si="235"/>
        <v>1877200</v>
      </c>
      <c r="AG83" s="700">
        <f t="shared" si="236"/>
        <v>40134063.310000002</v>
      </c>
      <c r="AH83" s="11"/>
      <c r="AI83" s="1082"/>
      <c r="AJ83" s="910"/>
      <c r="AK83" s="910"/>
      <c r="AL83" s="706">
        <v>21850.05</v>
      </c>
      <c r="AM83" s="702">
        <f t="shared" si="226"/>
        <v>11759.26</v>
      </c>
      <c r="AN83" s="1233"/>
      <c r="AO83" s="697">
        <v>122.3</v>
      </c>
      <c r="AP83" s="695">
        <v>4.5</v>
      </c>
      <c r="AQ83" s="698">
        <f t="shared" si="246"/>
        <v>32702133.439999998</v>
      </c>
      <c r="AR83" s="684">
        <f t="shared" si="247"/>
        <v>32067133.399999999</v>
      </c>
      <c r="AS83" s="11">
        <f t="shared" si="237"/>
        <v>32065156.199999999</v>
      </c>
      <c r="AT83" s="11">
        <f t="shared" si="248"/>
        <v>0</v>
      </c>
      <c r="AU83" s="11">
        <v>1977.2</v>
      </c>
      <c r="AV83" s="684">
        <f t="shared" si="154"/>
        <v>635000.04</v>
      </c>
      <c r="AW83" s="11">
        <f t="shared" si="238"/>
        <v>635000.04</v>
      </c>
      <c r="AX83" s="11">
        <f t="shared" si="239"/>
        <v>0</v>
      </c>
      <c r="AY83" s="11">
        <f t="shared" si="239"/>
        <v>0</v>
      </c>
      <c r="AZ83" s="18">
        <f t="shared" si="249"/>
        <v>0</v>
      </c>
      <c r="BA83" s="18">
        <f t="shared" si="240"/>
        <v>1977.2</v>
      </c>
      <c r="BB83" s="703">
        <f t="shared" si="250"/>
        <v>32700156.239999998</v>
      </c>
      <c r="BC83" s="700">
        <f t="shared" si="251"/>
        <v>42575603.399999999</v>
      </c>
      <c r="BD83" s="700"/>
      <c r="BE83" s="11"/>
      <c r="BF83" s="701"/>
      <c r="BG83" s="439"/>
      <c r="BH83" s="439"/>
      <c r="BI83" s="11"/>
    </row>
    <row r="84" spans="1:61">
      <c r="A84" s="11">
        <v>4</v>
      </c>
      <c r="B84" s="704" t="s">
        <v>77</v>
      </c>
      <c r="C84" s="695">
        <v>11.2</v>
      </c>
      <c r="D84" s="695">
        <v>0</v>
      </c>
      <c r="E84" s="11">
        <v>1950.8</v>
      </c>
      <c r="F84" s="11">
        <v>0</v>
      </c>
      <c r="G84" s="707">
        <v>14514.88</v>
      </c>
      <c r="H84" s="684">
        <f t="shared" si="241"/>
        <v>1950.8</v>
      </c>
      <c r="I84" s="11">
        <f t="shared" si="228"/>
        <v>1836.6</v>
      </c>
      <c r="J84" s="11"/>
      <c r="K84" s="11">
        <v>114.2</v>
      </c>
      <c r="L84" s="545">
        <f t="shared" si="229"/>
        <v>0</v>
      </c>
      <c r="M84" s="11">
        <f t="shared" si="242"/>
        <v>0</v>
      </c>
      <c r="N84" s="11"/>
      <c r="O84" s="861">
        <f t="shared" si="243"/>
        <v>-1.1999999999999993</v>
      </c>
      <c r="P84" s="697">
        <v>10</v>
      </c>
      <c r="Q84" s="695"/>
      <c r="R84" s="707">
        <v>14400</v>
      </c>
      <c r="S84" s="696"/>
      <c r="T84" s="698">
        <f t="shared" si="244"/>
        <v>1728000</v>
      </c>
      <c r="U84" s="699">
        <f t="shared" si="230"/>
        <v>1728000</v>
      </c>
      <c r="V84" s="433">
        <f t="shared" si="245"/>
        <v>1593600</v>
      </c>
      <c r="W84" s="11"/>
      <c r="X84" s="11">
        <f>134.4*1000</f>
        <v>134400</v>
      </c>
      <c r="Y84" s="699">
        <f t="shared" si="231"/>
        <v>0</v>
      </c>
      <c r="Z84" s="11">
        <f t="shared" si="232"/>
        <v>0</v>
      </c>
      <c r="AA84" s="11"/>
      <c r="AB84" s="11"/>
      <c r="AC84" s="698">
        <f t="shared" si="233"/>
        <v>1728000</v>
      </c>
      <c r="AD84" s="433">
        <f t="shared" si="234"/>
        <v>1593600</v>
      </c>
      <c r="AE84" s="11">
        <f t="shared" si="235"/>
        <v>0</v>
      </c>
      <c r="AF84" s="11">
        <f t="shared" si="235"/>
        <v>134400</v>
      </c>
      <c r="AG84" s="700">
        <f t="shared" si="236"/>
        <v>2074867.2</v>
      </c>
      <c r="AH84" s="11"/>
      <c r="AI84" s="1082"/>
      <c r="AJ84" s="910"/>
      <c r="AK84" s="910"/>
      <c r="AL84" s="708">
        <v>13350</v>
      </c>
      <c r="AM84" s="702">
        <f t="shared" si="226"/>
        <v>0</v>
      </c>
      <c r="AN84" s="1233">
        <f>AO84-P84</f>
        <v>1</v>
      </c>
      <c r="AO84" s="697">
        <v>11</v>
      </c>
      <c r="AP84" s="695"/>
      <c r="AQ84" s="698">
        <f t="shared" si="246"/>
        <v>1762200</v>
      </c>
      <c r="AR84" s="684">
        <f t="shared" si="247"/>
        <v>1762200</v>
      </c>
      <c r="AS84" s="11">
        <f t="shared" si="237"/>
        <v>1762045.6</v>
      </c>
      <c r="AT84" s="11">
        <f t="shared" si="248"/>
        <v>0</v>
      </c>
      <c r="AU84" s="11">
        <v>154.4</v>
      </c>
      <c r="AV84" s="684">
        <f t="shared" si="154"/>
        <v>0</v>
      </c>
      <c r="AW84" s="11">
        <f t="shared" si="238"/>
        <v>0</v>
      </c>
      <c r="AX84" s="11">
        <f t="shared" si="239"/>
        <v>0</v>
      </c>
      <c r="AY84" s="11">
        <f t="shared" si="239"/>
        <v>0</v>
      </c>
      <c r="AZ84" s="18">
        <f t="shared" si="249"/>
        <v>0</v>
      </c>
      <c r="BA84" s="18">
        <f t="shared" si="240"/>
        <v>154.4</v>
      </c>
      <c r="BB84" s="703">
        <f t="shared" si="250"/>
        <v>1762045.6</v>
      </c>
      <c r="BC84" s="700">
        <f t="shared" si="251"/>
        <v>2294183.4</v>
      </c>
      <c r="BD84" s="700"/>
      <c r="BE84" s="11"/>
      <c r="BF84" s="701"/>
      <c r="BG84" s="439"/>
      <c r="BH84" s="439"/>
      <c r="BI84" s="11"/>
    </row>
    <row r="85" spans="1:61">
      <c r="A85" s="11">
        <v>5</v>
      </c>
      <c r="B85" s="694" t="s">
        <v>73</v>
      </c>
      <c r="C85" s="695"/>
      <c r="D85" s="695"/>
      <c r="E85" s="11"/>
      <c r="F85" s="11"/>
      <c r="G85" s="696"/>
      <c r="H85" s="684">
        <f t="shared" si="241"/>
        <v>0</v>
      </c>
      <c r="I85" s="11">
        <f t="shared" si="228"/>
        <v>0</v>
      </c>
      <c r="J85" s="11"/>
      <c r="K85" s="11"/>
      <c r="L85" s="545">
        <f t="shared" si="229"/>
        <v>0</v>
      </c>
      <c r="M85" s="11">
        <f t="shared" si="242"/>
        <v>0</v>
      </c>
      <c r="N85" s="11"/>
      <c r="O85" s="861">
        <f t="shared" si="243"/>
        <v>0</v>
      </c>
      <c r="P85" s="697"/>
      <c r="Q85" s="695"/>
      <c r="R85" s="696"/>
      <c r="S85" s="696"/>
      <c r="T85" s="698">
        <f t="shared" si="244"/>
        <v>0</v>
      </c>
      <c r="U85" s="699">
        <f t="shared" si="230"/>
        <v>0</v>
      </c>
      <c r="V85" s="433">
        <f t="shared" si="245"/>
        <v>0</v>
      </c>
      <c r="W85" s="11"/>
      <c r="X85" s="11"/>
      <c r="Y85" s="699">
        <f t="shared" si="231"/>
        <v>0</v>
      </c>
      <c r="Z85" s="11">
        <f t="shared" si="232"/>
        <v>0</v>
      </c>
      <c r="AA85" s="11"/>
      <c r="AB85" s="11"/>
      <c r="AC85" s="698">
        <f t="shared" si="233"/>
        <v>0</v>
      </c>
      <c r="AD85" s="433">
        <f t="shared" si="234"/>
        <v>0</v>
      </c>
      <c r="AE85" s="11">
        <f t="shared" si="235"/>
        <v>0</v>
      </c>
      <c r="AF85" s="11">
        <f t="shared" si="235"/>
        <v>0</v>
      </c>
      <c r="AG85" s="700">
        <f t="shared" si="236"/>
        <v>0</v>
      </c>
      <c r="AH85" s="11"/>
      <c r="AI85" s="1082"/>
      <c r="AJ85" s="910"/>
      <c r="AK85" s="910"/>
      <c r="AL85" s="702"/>
      <c r="AM85" s="702">
        <f t="shared" si="226"/>
        <v>0</v>
      </c>
      <c r="AN85" s="1233"/>
      <c r="AO85" s="697"/>
      <c r="AP85" s="695"/>
      <c r="AQ85" s="698">
        <f t="shared" si="246"/>
        <v>0</v>
      </c>
      <c r="AR85" s="684">
        <f t="shared" si="247"/>
        <v>0</v>
      </c>
      <c r="AS85" s="11">
        <f t="shared" si="237"/>
        <v>0</v>
      </c>
      <c r="AT85" s="11">
        <f t="shared" si="248"/>
        <v>0</v>
      </c>
      <c r="AU85" s="11">
        <f>X85</f>
        <v>0</v>
      </c>
      <c r="AV85" s="684">
        <f t="shared" si="154"/>
        <v>0</v>
      </c>
      <c r="AW85" s="11">
        <f t="shared" si="238"/>
        <v>0</v>
      </c>
      <c r="AX85" s="11">
        <f t="shared" si="239"/>
        <v>0</v>
      </c>
      <c r="AY85" s="11">
        <f t="shared" si="239"/>
        <v>0</v>
      </c>
      <c r="AZ85" s="18">
        <f t="shared" si="249"/>
        <v>0</v>
      </c>
      <c r="BA85" s="18">
        <f t="shared" si="240"/>
        <v>0</v>
      </c>
      <c r="BB85" s="703">
        <f t="shared" si="250"/>
        <v>0</v>
      </c>
      <c r="BC85" s="700">
        <f t="shared" si="251"/>
        <v>0</v>
      </c>
      <c r="BD85" s="700"/>
      <c r="BE85" s="11"/>
      <c r="BF85" s="701"/>
      <c r="BG85" s="439"/>
      <c r="BH85" s="439"/>
      <c r="BI85" s="11"/>
    </row>
    <row r="86" spans="1:61">
      <c r="A86" s="11">
        <v>6</v>
      </c>
      <c r="B86" s="694" t="s">
        <v>74</v>
      </c>
      <c r="C86" s="695"/>
      <c r="D86" s="695"/>
      <c r="E86" s="11"/>
      <c r="F86" s="11"/>
      <c r="G86" s="696"/>
      <c r="H86" s="684">
        <f t="shared" si="241"/>
        <v>0</v>
      </c>
      <c r="I86" s="11">
        <f t="shared" si="228"/>
        <v>0</v>
      </c>
      <c r="J86" s="11"/>
      <c r="K86" s="11"/>
      <c r="L86" s="545">
        <f t="shared" si="229"/>
        <v>0</v>
      </c>
      <c r="M86" s="11">
        <f t="shared" si="242"/>
        <v>0</v>
      </c>
      <c r="N86" s="11"/>
      <c r="O86" s="861">
        <f t="shared" si="243"/>
        <v>0</v>
      </c>
      <c r="P86" s="697"/>
      <c r="Q86" s="695"/>
      <c r="R86" s="696"/>
      <c r="S86" s="696"/>
      <c r="T86" s="698">
        <f t="shared" si="244"/>
        <v>0</v>
      </c>
      <c r="U86" s="699">
        <f t="shared" si="230"/>
        <v>0</v>
      </c>
      <c r="V86" s="433">
        <f t="shared" si="245"/>
        <v>0</v>
      </c>
      <c r="W86" s="11"/>
      <c r="X86" s="11"/>
      <c r="Y86" s="699">
        <f t="shared" si="231"/>
        <v>0</v>
      </c>
      <c r="Z86" s="11">
        <f t="shared" si="232"/>
        <v>0</v>
      </c>
      <c r="AA86" s="11"/>
      <c r="AB86" s="11"/>
      <c r="AC86" s="698">
        <f t="shared" si="233"/>
        <v>0</v>
      </c>
      <c r="AD86" s="433">
        <f t="shared" si="234"/>
        <v>0</v>
      </c>
      <c r="AE86" s="11">
        <f t="shared" si="235"/>
        <v>0</v>
      </c>
      <c r="AF86" s="11">
        <f t="shared" si="235"/>
        <v>0</v>
      </c>
      <c r="AG86" s="700">
        <f t="shared" si="236"/>
        <v>0</v>
      </c>
      <c r="AH86" s="11"/>
      <c r="AI86" s="1082"/>
      <c r="AJ86" s="910"/>
      <c r="AK86" s="910"/>
      <c r="AL86" s="702"/>
      <c r="AM86" s="702">
        <f t="shared" si="226"/>
        <v>0</v>
      </c>
      <c r="AN86" s="1233"/>
      <c r="AO86" s="697"/>
      <c r="AP86" s="695"/>
      <c r="AQ86" s="698">
        <f t="shared" si="246"/>
        <v>0</v>
      </c>
      <c r="AR86" s="684">
        <f t="shared" si="247"/>
        <v>0</v>
      </c>
      <c r="AS86" s="11">
        <f t="shared" si="237"/>
        <v>0</v>
      </c>
      <c r="AT86" s="11">
        <f t="shared" si="248"/>
        <v>0</v>
      </c>
      <c r="AU86" s="11">
        <f>X86</f>
        <v>0</v>
      </c>
      <c r="AV86" s="684">
        <f t="shared" si="154"/>
        <v>0</v>
      </c>
      <c r="AW86" s="11">
        <f t="shared" si="238"/>
        <v>0</v>
      </c>
      <c r="AX86" s="11">
        <f t="shared" si="239"/>
        <v>0</v>
      </c>
      <c r="AY86" s="11">
        <f t="shared" si="239"/>
        <v>0</v>
      </c>
      <c r="AZ86" s="18">
        <f t="shared" si="249"/>
        <v>0</v>
      </c>
      <c r="BA86" s="18">
        <f t="shared" si="240"/>
        <v>0</v>
      </c>
      <c r="BB86" s="703">
        <f t="shared" si="250"/>
        <v>0</v>
      </c>
      <c r="BC86" s="700">
        <f t="shared" si="251"/>
        <v>0</v>
      </c>
      <c r="BD86" s="700"/>
      <c r="BE86" s="11"/>
      <c r="BF86" s="701"/>
      <c r="BG86" s="439"/>
      <c r="BH86" s="439"/>
      <c r="BI86" s="11"/>
    </row>
    <row r="87" spans="1:61">
      <c r="A87" s="11">
        <v>7</v>
      </c>
      <c r="B87" s="1131" t="s">
        <v>814</v>
      </c>
      <c r="C87" s="695">
        <v>158.19999999999999</v>
      </c>
      <c r="D87" s="695">
        <v>6.9</v>
      </c>
      <c r="E87" s="11">
        <v>23362.1</v>
      </c>
      <c r="F87" s="11">
        <v>694.6</v>
      </c>
      <c r="G87" s="696">
        <v>12306.21</v>
      </c>
      <c r="H87" s="684">
        <f t="shared" si="241"/>
        <v>23362.1</v>
      </c>
      <c r="I87" s="11">
        <f t="shared" si="228"/>
        <v>23308.5</v>
      </c>
      <c r="J87" s="11"/>
      <c r="K87" s="11">
        <v>53.6</v>
      </c>
      <c r="L87" s="545">
        <f t="shared" si="229"/>
        <v>694.6</v>
      </c>
      <c r="M87" s="11">
        <f t="shared" si="242"/>
        <v>694.6</v>
      </c>
      <c r="N87" s="11"/>
      <c r="O87" s="861">
        <f t="shared" si="243"/>
        <v>7.8000000000000114</v>
      </c>
      <c r="P87" s="697">
        <v>166</v>
      </c>
      <c r="Q87" s="695">
        <v>8.8000000000000007</v>
      </c>
      <c r="R87" s="912">
        <v>12409.53</v>
      </c>
      <c r="S87" s="696">
        <v>8477.27</v>
      </c>
      <c r="T87" s="698">
        <f t="shared" si="244"/>
        <v>25614983.470000003</v>
      </c>
      <c r="U87" s="699">
        <f t="shared" si="230"/>
        <v>24719783.760000002</v>
      </c>
      <c r="V87" s="433">
        <f t="shared" si="245"/>
        <v>24699783.760000002</v>
      </c>
      <c r="W87" s="11"/>
      <c r="X87" s="11">
        <f>20*1000</f>
        <v>20000</v>
      </c>
      <c r="Y87" s="699">
        <f t="shared" si="231"/>
        <v>895199.71</v>
      </c>
      <c r="Z87" s="11">
        <f t="shared" si="232"/>
        <v>895199.71</v>
      </c>
      <c r="AA87" s="11"/>
      <c r="AB87" s="11"/>
      <c r="AC87" s="698">
        <f t="shared" si="233"/>
        <v>25614983.469999999</v>
      </c>
      <c r="AD87" s="433">
        <f t="shared" si="234"/>
        <v>25594983.469999999</v>
      </c>
      <c r="AE87" s="11">
        <f t="shared" si="235"/>
        <v>0</v>
      </c>
      <c r="AF87" s="11">
        <f t="shared" si="235"/>
        <v>20000</v>
      </c>
      <c r="AG87" s="700">
        <f t="shared" si="236"/>
        <v>33324668.48</v>
      </c>
      <c r="AH87" s="11"/>
      <c r="AI87" s="1082"/>
      <c r="AJ87" s="910"/>
      <c r="AK87" s="910"/>
      <c r="AL87" s="702">
        <v>11743.88</v>
      </c>
      <c r="AM87" s="702">
        <f t="shared" si="226"/>
        <v>8477.27</v>
      </c>
      <c r="AN87" s="1233">
        <f>AO87-P87</f>
        <v>6</v>
      </c>
      <c r="AO87" s="697">
        <v>172</v>
      </c>
      <c r="AP87" s="695">
        <v>8.8000000000000007</v>
      </c>
      <c r="AQ87" s="698">
        <f t="shared" si="246"/>
        <v>25134568.010000002</v>
      </c>
      <c r="AR87" s="684">
        <f t="shared" si="247"/>
        <v>24239368.300000001</v>
      </c>
      <c r="AS87" s="11">
        <f t="shared" si="237"/>
        <v>24239338.300000001</v>
      </c>
      <c r="AT87" s="11">
        <f t="shared" si="248"/>
        <v>0</v>
      </c>
      <c r="AU87" s="11">
        <v>30</v>
      </c>
      <c r="AV87" s="684">
        <f t="shared" si="154"/>
        <v>895199.71</v>
      </c>
      <c r="AW87" s="11">
        <f t="shared" si="238"/>
        <v>895199.71</v>
      </c>
      <c r="AX87" s="11">
        <f t="shared" si="239"/>
        <v>0</v>
      </c>
      <c r="AY87" s="11">
        <f t="shared" si="239"/>
        <v>0</v>
      </c>
      <c r="AZ87" s="18">
        <f t="shared" si="249"/>
        <v>0</v>
      </c>
      <c r="BA87" s="18">
        <f t="shared" si="240"/>
        <v>30</v>
      </c>
      <c r="BB87" s="703">
        <f t="shared" si="250"/>
        <v>25134538.010000002</v>
      </c>
      <c r="BC87" s="700">
        <f t="shared" si="251"/>
        <v>32725168.5</v>
      </c>
      <c r="BD87" s="700"/>
      <c r="BE87" s="11"/>
      <c r="BF87" s="701"/>
      <c r="BG87" s="439"/>
      <c r="BH87" s="439"/>
      <c r="BI87" s="11"/>
    </row>
    <row r="88" spans="1:61">
      <c r="A88" s="11"/>
      <c r="B88" s="1132" t="s">
        <v>815</v>
      </c>
      <c r="C88" s="695"/>
      <c r="D88" s="695"/>
      <c r="E88" s="11"/>
      <c r="F88" s="11"/>
      <c r="G88" s="696"/>
      <c r="H88" s="684"/>
      <c r="I88" s="11"/>
      <c r="J88" s="11"/>
      <c r="K88" s="11"/>
      <c r="L88" s="545"/>
      <c r="M88" s="11"/>
      <c r="N88" s="11"/>
      <c r="O88" s="861"/>
      <c r="P88" s="697"/>
      <c r="Q88" s="695"/>
      <c r="R88" s="912"/>
      <c r="S88" s="696"/>
      <c r="T88" s="698"/>
      <c r="U88" s="699"/>
      <c r="V88" s="433"/>
      <c r="W88" s="11"/>
      <c r="X88" s="11"/>
      <c r="Y88" s="699"/>
      <c r="Z88" s="11"/>
      <c r="AA88" s="11"/>
      <c r="AB88" s="11"/>
      <c r="AC88" s="698"/>
      <c r="AD88" s="433"/>
      <c r="AE88" s="11"/>
      <c r="AF88" s="11"/>
      <c r="AG88" s="700"/>
      <c r="AH88" s="11"/>
      <c r="AI88" s="1082"/>
      <c r="AJ88" s="910"/>
      <c r="AK88" s="910"/>
      <c r="AL88" s="702"/>
      <c r="AM88" s="702"/>
      <c r="AN88" s="1233"/>
      <c r="AO88" s="1158"/>
      <c r="AP88" s="695"/>
      <c r="AQ88" s="698"/>
      <c r="AR88" s="684"/>
      <c r="AS88" s="11"/>
      <c r="AT88" s="11"/>
      <c r="AU88" s="11"/>
      <c r="AV88" s="684"/>
      <c r="AW88" s="11"/>
      <c r="AX88" s="11"/>
      <c r="AY88" s="11"/>
      <c r="AZ88" s="18"/>
      <c r="BA88" s="18"/>
      <c r="BB88" s="703"/>
      <c r="BC88" s="700"/>
      <c r="BD88" s="700"/>
      <c r="BE88" s="1045"/>
      <c r="BF88" s="701"/>
      <c r="BG88" s="1130"/>
      <c r="BH88" s="1130"/>
      <c r="BI88" s="11"/>
    </row>
    <row r="89" spans="1:61" ht="19.149999999999999" customHeight="1">
      <c r="A89" s="545">
        <v>9</v>
      </c>
      <c r="B89" s="426" t="s">
        <v>96</v>
      </c>
      <c r="C89" s="545">
        <f>C90+C91+C92+C93+C94+C95+C96</f>
        <v>626.9</v>
      </c>
      <c r="D89" s="545">
        <f>D90+D91+D92+D93+D94+D95+D96</f>
        <v>39.1</v>
      </c>
      <c r="E89" s="545">
        <f>SUM(E90:E96)</f>
        <v>128178.7</v>
      </c>
      <c r="F89" s="545">
        <f t="shared" ref="F89:AG89" si="252">F90+F91+F92+F93+F94+F95+F96</f>
        <v>6538.4</v>
      </c>
      <c r="G89" s="558">
        <v>17038.7</v>
      </c>
      <c r="H89" s="545">
        <f t="shared" si="252"/>
        <v>128178.7</v>
      </c>
      <c r="I89" s="545">
        <f t="shared" si="252"/>
        <v>123132.9</v>
      </c>
      <c r="J89" s="545">
        <f t="shared" si="252"/>
        <v>0</v>
      </c>
      <c r="K89" s="545">
        <f t="shared" si="252"/>
        <v>5045.8000000000011</v>
      </c>
      <c r="L89" s="545">
        <f t="shared" si="252"/>
        <v>6538.4</v>
      </c>
      <c r="M89" s="545">
        <f t="shared" si="252"/>
        <v>6058.4</v>
      </c>
      <c r="N89" s="545">
        <f t="shared" si="252"/>
        <v>14.200000000000031</v>
      </c>
      <c r="O89" s="559">
        <f t="shared" si="252"/>
        <v>480</v>
      </c>
      <c r="P89" s="560">
        <f t="shared" si="252"/>
        <v>641.1</v>
      </c>
      <c r="Q89" s="545">
        <f t="shared" si="252"/>
        <v>43</v>
      </c>
      <c r="R89" s="558">
        <v>17038.7</v>
      </c>
      <c r="S89" s="558"/>
      <c r="T89" s="561">
        <f>SUM(T90:T96)</f>
        <v>137521517.30000001</v>
      </c>
      <c r="U89" s="545">
        <f>U90+U91+U92+U93+U94+U95+U96</f>
        <v>130328873.23000002</v>
      </c>
      <c r="V89" s="558">
        <f>V90+V91+V92+V93+V94+V95+V96</f>
        <v>125182463.23000002</v>
      </c>
      <c r="W89" s="545">
        <f t="shared" ref="W89:AB89" si="253">W90+W91+W92+W93+W94+W95+W96</f>
        <v>0</v>
      </c>
      <c r="X89" s="545">
        <f>X90+X91+X92+X93+X94+X95+X96</f>
        <v>5146410</v>
      </c>
      <c r="Y89" s="545">
        <f t="shared" si="253"/>
        <v>7192644.0700000003</v>
      </c>
      <c r="Z89" s="545">
        <f t="shared" si="253"/>
        <v>6703044.0700000003</v>
      </c>
      <c r="AA89" s="545">
        <f t="shared" si="253"/>
        <v>0</v>
      </c>
      <c r="AB89" s="545">
        <f t="shared" si="253"/>
        <v>489600</v>
      </c>
      <c r="AC89" s="558">
        <f>AC90+AC91+AC92+AC93+AC94+AC95+AC96</f>
        <v>137521517.30000001</v>
      </c>
      <c r="AD89" s="545">
        <f t="shared" si="252"/>
        <v>131885507.3</v>
      </c>
      <c r="AE89" s="545">
        <f t="shared" si="252"/>
        <v>0</v>
      </c>
      <c r="AF89" s="545">
        <f t="shared" si="252"/>
        <v>5636010</v>
      </c>
      <c r="AG89" s="545">
        <f t="shared" si="252"/>
        <v>171714930.50999999</v>
      </c>
      <c r="AH89" s="558">
        <v>7529873</v>
      </c>
      <c r="AI89" s="1086">
        <v>177850809.18000001</v>
      </c>
      <c r="AJ89" s="765">
        <f>AH89+AG89</f>
        <v>179244803.50999999</v>
      </c>
      <c r="AK89" s="876">
        <f>AJ89-AI89</f>
        <v>1393994.3299999833</v>
      </c>
      <c r="AL89" s="563">
        <v>17038.7</v>
      </c>
      <c r="AM89" s="563">
        <f t="shared" si="226"/>
        <v>0</v>
      </c>
      <c r="AN89" s="545">
        <f>AN90+AN91+AN92+AN93+AN94+AN95+AN96</f>
        <v>0</v>
      </c>
      <c r="AO89" s="545">
        <f>AO90+AO91+AO92+AO93+AO94+AO95+AO96</f>
        <v>641.1</v>
      </c>
      <c r="AP89" s="545">
        <f t="shared" ref="AP89:BC89" si="254">AP90+AP91+AP92+AP93+AP94+AP95+AP96</f>
        <v>43</v>
      </c>
      <c r="AQ89" s="561">
        <f>SUM(AQ90:AQ96)</f>
        <v>137521517.16999999</v>
      </c>
      <c r="AR89" s="545">
        <f t="shared" si="247"/>
        <v>131082126.8</v>
      </c>
      <c r="AS89" s="545">
        <f t="shared" si="254"/>
        <v>125182463.09999999</v>
      </c>
      <c r="AT89" s="545">
        <f t="shared" si="254"/>
        <v>0</v>
      </c>
      <c r="AU89" s="545">
        <f t="shared" si="254"/>
        <v>5146410</v>
      </c>
      <c r="AV89" s="545">
        <f t="shared" si="154"/>
        <v>0</v>
      </c>
      <c r="AW89" s="545">
        <f>AW90+AW91+AW92+AW93+AW94+AW95+AW96</f>
        <v>6703044.0700000003</v>
      </c>
      <c r="AX89" s="545">
        <f t="shared" si="254"/>
        <v>0</v>
      </c>
      <c r="AY89" s="545">
        <f t="shared" si="254"/>
        <v>489600</v>
      </c>
      <c r="AZ89" s="545">
        <f t="shared" si="254"/>
        <v>0</v>
      </c>
      <c r="BA89" s="545">
        <f t="shared" si="254"/>
        <v>5636010</v>
      </c>
      <c r="BB89" s="545">
        <f t="shared" si="254"/>
        <v>131885507.17</v>
      </c>
      <c r="BC89" s="545">
        <f t="shared" si="254"/>
        <v>171714930.40000004</v>
      </c>
      <c r="BD89" s="558">
        <v>7529873</v>
      </c>
      <c r="BE89" s="564">
        <f>BD89+BC89</f>
        <v>179244803.40000004</v>
      </c>
      <c r="BF89" s="562">
        <v>177850809.18000001</v>
      </c>
      <c r="BG89" s="865">
        <f>BE89-BF89</f>
        <v>1393994.2200000286</v>
      </c>
      <c r="BH89" s="875">
        <f>AG89+AH89</f>
        <v>179244803.50999999</v>
      </c>
      <c r="BI89" s="876">
        <f>BH89-AI89</f>
        <v>1393994.3299999833</v>
      </c>
    </row>
    <row r="90" spans="1:61">
      <c r="A90" s="11">
        <v>1</v>
      </c>
      <c r="B90" s="13" t="s">
        <v>71</v>
      </c>
      <c r="C90" s="17">
        <v>13</v>
      </c>
      <c r="D90" s="17"/>
      <c r="E90" s="11">
        <v>7549.5</v>
      </c>
      <c r="F90" s="11"/>
      <c r="G90" s="555">
        <v>48394.23</v>
      </c>
      <c r="H90" s="545">
        <f>I90+J90+K90</f>
        <v>7549.5</v>
      </c>
      <c r="I90" s="11">
        <f t="shared" ref="I90:I96" si="255">E90-K90-J90</f>
        <v>7372.1</v>
      </c>
      <c r="J90" s="11"/>
      <c r="K90" s="11">
        <v>177.4</v>
      </c>
      <c r="L90" s="545">
        <f>M90+O90</f>
        <v>0</v>
      </c>
      <c r="M90" s="11">
        <f>F90-O90</f>
        <v>0</v>
      </c>
      <c r="N90" s="862">
        <f>P90-C90</f>
        <v>0</v>
      </c>
      <c r="O90" s="439"/>
      <c r="P90" s="444">
        <v>13</v>
      </c>
      <c r="Q90" s="17"/>
      <c r="R90" s="555">
        <v>48394.23</v>
      </c>
      <c r="S90" s="555"/>
      <c r="T90" s="554">
        <f>U90+Y90</f>
        <v>7549499.8799999999</v>
      </c>
      <c r="U90" s="556">
        <f t="shared" ref="U90:U96" si="256">ROUND(R90*P90*12,2)</f>
        <v>7549499.8799999999</v>
      </c>
      <c r="V90" s="433">
        <f t="shared" ref="V90:V96" si="257">U90-W90-X90</f>
        <v>7368551.8799999999</v>
      </c>
      <c r="W90" s="11"/>
      <c r="X90" s="11">
        <v>180948</v>
      </c>
      <c r="Y90" s="556">
        <f t="shared" ref="Y90:Y96" si="258">ROUND(S90*Q90*12,2)</f>
        <v>0</v>
      </c>
      <c r="Z90" s="11">
        <f t="shared" ref="Z90:Z96" si="259">Y90-AA90-AB90</f>
        <v>0</v>
      </c>
      <c r="AA90" s="11"/>
      <c r="AB90" s="11"/>
      <c r="AC90" s="554">
        <f>AD90+AE90+AF90</f>
        <v>7549499.8799999999</v>
      </c>
      <c r="AD90" s="433">
        <f t="shared" ref="AD90:AD96" si="260">ROUND((Z90+V90),2)</f>
        <v>7368551.8799999999</v>
      </c>
      <c r="AE90" s="11">
        <f t="shared" ref="AE90:AF96" si="261">AA90+W90</f>
        <v>0</v>
      </c>
      <c r="AF90" s="11">
        <f t="shared" si="261"/>
        <v>180948</v>
      </c>
      <c r="AG90" s="544">
        <f t="shared" ref="AG90:AG96" si="262">ROUND(AD90*1.302,2)</f>
        <v>9593854.5500000007</v>
      </c>
      <c r="AH90" s="765">
        <v>7622000</v>
      </c>
      <c r="AI90" s="1092" t="s">
        <v>702</v>
      </c>
      <c r="AJ90" s="1095"/>
      <c r="AK90" s="1095"/>
      <c r="AL90" s="557">
        <v>48394.23</v>
      </c>
      <c r="AM90" s="557">
        <f t="shared" si="226"/>
        <v>0</v>
      </c>
      <c r="AN90" s="1233"/>
      <c r="AO90" s="17">
        <v>13</v>
      </c>
      <c r="AP90" s="17"/>
      <c r="AQ90" s="554">
        <f>AR90+AV90</f>
        <v>7549499.9000000004</v>
      </c>
      <c r="AR90" s="545">
        <f t="shared" si="247"/>
        <v>7549499.9000000004</v>
      </c>
      <c r="AS90" s="11">
        <f t="shared" ref="AS90:AS96" si="263">AR90-AT90-AU90</f>
        <v>7368551.9000000004</v>
      </c>
      <c r="AT90" s="11">
        <f>W90</f>
        <v>0</v>
      </c>
      <c r="AU90" s="11">
        <f t="shared" ref="AU90:AU96" si="264">X90</f>
        <v>180948</v>
      </c>
      <c r="AV90" s="545">
        <f t="shared" si="154"/>
        <v>0</v>
      </c>
      <c r="AW90" s="11">
        <f t="shared" ref="AW90:AW96" si="265">AV90-AX90-AY90</f>
        <v>0</v>
      </c>
      <c r="AX90" s="11">
        <f t="shared" ref="AX90:AY96" si="266">AA90</f>
        <v>0</v>
      </c>
      <c r="AY90" s="11">
        <f t="shared" si="266"/>
        <v>0</v>
      </c>
      <c r="AZ90" s="18">
        <f>AX90+AT90</f>
        <v>0</v>
      </c>
      <c r="BA90" s="18">
        <f t="shared" ref="BA90:BA96" si="267">AY90+AU90</f>
        <v>180948</v>
      </c>
      <c r="BB90" s="19">
        <f>AW90+AS90</f>
        <v>7368551.9000000004</v>
      </c>
      <c r="BC90" s="544">
        <f>ROUND(BB90*1.302,1)</f>
        <v>9593854.5999999996</v>
      </c>
      <c r="BD90" s="544"/>
      <c r="BE90" s="11"/>
      <c r="BF90" s="445"/>
      <c r="BG90" s="439"/>
      <c r="BH90" s="439"/>
      <c r="BI90" s="11"/>
    </row>
    <row r="91" spans="1:61">
      <c r="A91" s="11">
        <v>2</v>
      </c>
      <c r="B91" s="13" t="s">
        <v>72</v>
      </c>
      <c r="C91" s="17">
        <v>33.200000000000003</v>
      </c>
      <c r="D91" s="17">
        <v>1</v>
      </c>
      <c r="E91" s="11">
        <v>16183.2</v>
      </c>
      <c r="F91" s="11">
        <v>248.3</v>
      </c>
      <c r="G91" s="555">
        <v>40620.480000000003</v>
      </c>
      <c r="H91" s="545">
        <f t="shared" ref="H91:H96" si="268">I91+J91+K91</f>
        <v>16183.2</v>
      </c>
      <c r="I91" s="11">
        <f t="shared" si="255"/>
        <v>15773.5</v>
      </c>
      <c r="J91" s="11"/>
      <c r="K91" s="11">
        <v>409.7</v>
      </c>
      <c r="L91" s="545">
        <f t="shared" ref="L91:L96" si="269">M91+O91</f>
        <v>248.3</v>
      </c>
      <c r="M91" s="11">
        <f t="shared" ref="M91:M96" si="270">F91-O91</f>
        <v>248.3</v>
      </c>
      <c r="N91" s="862">
        <f t="shared" ref="N91:N96" si="271">P91-C91</f>
        <v>-1.7000000000000028</v>
      </c>
      <c r="O91" s="439"/>
      <c r="P91" s="444">
        <v>31.5</v>
      </c>
      <c r="Q91" s="17">
        <v>1</v>
      </c>
      <c r="R91" s="555">
        <v>40620.480000000003</v>
      </c>
      <c r="S91" s="555">
        <f t="shared" ref="S91:S96" si="272">ROUND(F91/D91/12*1000,2)</f>
        <v>20691.669999999998</v>
      </c>
      <c r="T91" s="554">
        <f t="shared" ref="T91:T96" si="273">U91+Y91</f>
        <v>15602841.479999999</v>
      </c>
      <c r="U91" s="556">
        <f>ROUND(R91*P91*12,2)</f>
        <v>15354541.439999999</v>
      </c>
      <c r="V91" s="433">
        <f t="shared" si="257"/>
        <v>14936647.439999999</v>
      </c>
      <c r="W91" s="11"/>
      <c r="X91" s="11">
        <v>417894</v>
      </c>
      <c r="Y91" s="556">
        <f>ROUND(S91*Q91*12,2)</f>
        <v>248300.04</v>
      </c>
      <c r="Z91" s="11">
        <f>Y91-AA91-AB91</f>
        <v>248300.04</v>
      </c>
      <c r="AA91" s="11"/>
      <c r="AB91" s="11"/>
      <c r="AC91" s="554">
        <f t="shared" ref="AC91:AC96" si="274">AD91+AE91+AF91</f>
        <v>15602841.48</v>
      </c>
      <c r="AD91" s="433">
        <f t="shared" si="260"/>
        <v>15184947.48</v>
      </c>
      <c r="AE91" s="11">
        <f t="shared" si="261"/>
        <v>0</v>
      </c>
      <c r="AF91" s="11">
        <f t="shared" si="261"/>
        <v>417894</v>
      </c>
      <c r="AG91" s="544">
        <f t="shared" si="262"/>
        <v>19770801.620000001</v>
      </c>
      <c r="AH91" s="11"/>
      <c r="AI91" s="1084"/>
      <c r="AJ91" s="850"/>
      <c r="AK91" s="850"/>
      <c r="AL91" s="557">
        <v>40620.480000000003</v>
      </c>
      <c r="AM91" s="557">
        <f t="shared" si="226"/>
        <v>20691.669999999998</v>
      </c>
      <c r="AN91" s="1233"/>
      <c r="AO91" s="17">
        <v>31.5</v>
      </c>
      <c r="AP91" s="17">
        <v>1</v>
      </c>
      <c r="AQ91" s="554">
        <f t="shared" ref="AQ91:AQ96" si="275">AR91+AV91</f>
        <v>15602841.439999999</v>
      </c>
      <c r="AR91" s="545">
        <f t="shared" si="247"/>
        <v>15354541.4</v>
      </c>
      <c r="AS91" s="11">
        <f t="shared" si="263"/>
        <v>14936647.4</v>
      </c>
      <c r="AT91" s="11">
        <f t="shared" ref="AT91:AT96" si="276">W91</f>
        <v>0</v>
      </c>
      <c r="AU91" s="11">
        <f t="shared" si="264"/>
        <v>417894</v>
      </c>
      <c r="AV91" s="545">
        <f t="shared" si="154"/>
        <v>248300.04</v>
      </c>
      <c r="AW91" s="11">
        <f t="shared" si="265"/>
        <v>248300.04</v>
      </c>
      <c r="AX91" s="11">
        <f t="shared" si="266"/>
        <v>0</v>
      </c>
      <c r="AY91" s="11">
        <f t="shared" si="266"/>
        <v>0</v>
      </c>
      <c r="AZ91" s="18">
        <f t="shared" ref="AZ91:AZ96" si="277">AX91+AT91</f>
        <v>0</v>
      </c>
      <c r="BA91" s="18">
        <f t="shared" si="267"/>
        <v>417894</v>
      </c>
      <c r="BB91" s="19">
        <f t="shared" ref="BB91:BB96" si="278">AW91+AS91</f>
        <v>15184947.439999999</v>
      </c>
      <c r="BC91" s="544">
        <f t="shared" ref="BC91:BC96" si="279">ROUND(BB91*1.302,1)</f>
        <v>19770801.600000001</v>
      </c>
      <c r="BD91" s="544"/>
      <c r="BE91" s="11"/>
      <c r="BF91" s="445"/>
      <c r="BG91" s="439"/>
      <c r="BH91" s="439"/>
      <c r="BI91" s="11"/>
    </row>
    <row r="92" spans="1:61">
      <c r="A92" s="11">
        <v>3</v>
      </c>
      <c r="B92" s="14" t="s">
        <v>76</v>
      </c>
      <c r="C92" s="17">
        <v>278.7</v>
      </c>
      <c r="D92" s="17">
        <v>24.6</v>
      </c>
      <c r="E92" s="11">
        <v>77196.600000000006</v>
      </c>
      <c r="F92" s="11">
        <v>5165.5</v>
      </c>
      <c r="G92" s="29">
        <v>23082.35</v>
      </c>
      <c r="H92" s="545">
        <f t="shared" si="268"/>
        <v>77196.600000000006</v>
      </c>
      <c r="I92" s="11">
        <f t="shared" si="255"/>
        <v>72872.3</v>
      </c>
      <c r="J92" s="11"/>
      <c r="K92" s="11">
        <v>4324.3</v>
      </c>
      <c r="L92" s="545">
        <f t="shared" si="269"/>
        <v>5165.5</v>
      </c>
      <c r="M92" s="11">
        <f t="shared" si="270"/>
        <v>4685.5</v>
      </c>
      <c r="N92" s="862">
        <f t="shared" si="271"/>
        <v>6.9000000000000341</v>
      </c>
      <c r="O92" s="439">
        <v>480</v>
      </c>
      <c r="P92" s="444">
        <v>285.60000000000002</v>
      </c>
      <c r="Q92" s="17">
        <v>27.2</v>
      </c>
      <c r="R92" s="29">
        <v>23082.35</v>
      </c>
      <c r="S92" s="555">
        <f t="shared" si="272"/>
        <v>17498.310000000001</v>
      </c>
      <c r="T92" s="554">
        <f t="shared" si="273"/>
        <v>84819278.299999997</v>
      </c>
      <c r="U92" s="556">
        <f t="shared" si="256"/>
        <v>79107829.920000002</v>
      </c>
      <c r="V92" s="433">
        <f t="shared" si="257"/>
        <v>74697349.920000002</v>
      </c>
      <c r="W92" s="11"/>
      <c r="X92" s="11">
        <v>4410480</v>
      </c>
      <c r="Y92" s="556">
        <f t="shared" si="258"/>
        <v>5711448.3799999999</v>
      </c>
      <c r="Z92" s="11">
        <f t="shared" si="259"/>
        <v>5221848.38</v>
      </c>
      <c r="AA92" s="11"/>
      <c r="AB92" s="11">
        <v>489600</v>
      </c>
      <c r="AC92" s="554">
        <f t="shared" si="274"/>
        <v>84819278.299999997</v>
      </c>
      <c r="AD92" s="433">
        <f t="shared" si="260"/>
        <v>79919198.299999997</v>
      </c>
      <c r="AE92" s="11">
        <f t="shared" si="261"/>
        <v>0</v>
      </c>
      <c r="AF92" s="11">
        <f t="shared" si="261"/>
        <v>4900080</v>
      </c>
      <c r="AG92" s="544">
        <f t="shared" si="262"/>
        <v>104054796.19</v>
      </c>
      <c r="AH92" s="11"/>
      <c r="AI92" s="1084"/>
      <c r="AJ92" s="850"/>
      <c r="AK92" s="850"/>
      <c r="AL92" s="440">
        <v>23082.35</v>
      </c>
      <c r="AM92" s="557">
        <f t="shared" si="226"/>
        <v>17498.310000000001</v>
      </c>
      <c r="AN92" s="1233"/>
      <c r="AO92" s="17">
        <v>285.60000000000002</v>
      </c>
      <c r="AP92" s="17">
        <v>27.2</v>
      </c>
      <c r="AQ92" s="554">
        <f t="shared" si="275"/>
        <v>84819278.280000001</v>
      </c>
      <c r="AR92" s="545">
        <f t="shared" si="247"/>
        <v>79107829.900000006</v>
      </c>
      <c r="AS92" s="11">
        <f t="shared" si="263"/>
        <v>74697349.900000006</v>
      </c>
      <c r="AT92" s="11">
        <f t="shared" si="276"/>
        <v>0</v>
      </c>
      <c r="AU92" s="11">
        <f t="shared" si="264"/>
        <v>4410480</v>
      </c>
      <c r="AV92" s="545">
        <f t="shared" si="154"/>
        <v>5711448.3799999999</v>
      </c>
      <c r="AW92" s="11">
        <f t="shared" si="265"/>
        <v>5221848.38</v>
      </c>
      <c r="AX92" s="11">
        <f t="shared" si="266"/>
        <v>0</v>
      </c>
      <c r="AY92" s="11">
        <f t="shared" si="266"/>
        <v>489600</v>
      </c>
      <c r="AZ92" s="18">
        <f t="shared" si="277"/>
        <v>0</v>
      </c>
      <c r="BA92" s="18">
        <f t="shared" si="267"/>
        <v>4900080</v>
      </c>
      <c r="BB92" s="19">
        <f t="shared" si="278"/>
        <v>79919198.280000001</v>
      </c>
      <c r="BC92" s="544">
        <f t="shared" si="279"/>
        <v>104054796.2</v>
      </c>
      <c r="BD92" s="544"/>
      <c r="BE92" s="11"/>
      <c r="BF92" s="445"/>
      <c r="BG92" s="439"/>
      <c r="BH92" s="439"/>
      <c r="BI92" s="11"/>
    </row>
    <row r="93" spans="1:61">
      <c r="A93" s="11">
        <v>4</v>
      </c>
      <c r="B93" s="14" t="s">
        <v>77</v>
      </c>
      <c r="C93" s="17">
        <v>6</v>
      </c>
      <c r="D93" s="17">
        <v>0</v>
      </c>
      <c r="E93" s="11">
        <v>1370.5</v>
      </c>
      <c r="F93" s="11">
        <v>0</v>
      </c>
      <c r="G93" s="432">
        <v>19034.72</v>
      </c>
      <c r="H93" s="545">
        <f t="shared" si="268"/>
        <v>1370.5</v>
      </c>
      <c r="I93" s="11">
        <f t="shared" si="255"/>
        <v>1257.7</v>
      </c>
      <c r="J93" s="11"/>
      <c r="K93" s="11">
        <v>112.8</v>
      </c>
      <c r="L93" s="545">
        <f t="shared" si="269"/>
        <v>0</v>
      </c>
      <c r="M93" s="11">
        <f t="shared" si="270"/>
        <v>0</v>
      </c>
      <c r="N93" s="862">
        <f t="shared" si="271"/>
        <v>2</v>
      </c>
      <c r="O93" s="439"/>
      <c r="P93" s="444">
        <v>8</v>
      </c>
      <c r="Q93" s="17"/>
      <c r="R93" s="432">
        <v>19034.72</v>
      </c>
      <c r="S93" s="555"/>
      <c r="T93" s="554">
        <f t="shared" si="273"/>
        <v>1827333.1200000001</v>
      </c>
      <c r="U93" s="556">
        <f t="shared" si="256"/>
        <v>1827333.1200000001</v>
      </c>
      <c r="V93" s="433">
        <f t="shared" si="257"/>
        <v>1712277.12</v>
      </c>
      <c r="W93" s="11"/>
      <c r="X93" s="11">
        <v>115056</v>
      </c>
      <c r="Y93" s="556">
        <f t="shared" si="258"/>
        <v>0</v>
      </c>
      <c r="Z93" s="11">
        <f t="shared" si="259"/>
        <v>0</v>
      </c>
      <c r="AA93" s="11"/>
      <c r="AB93" s="11"/>
      <c r="AC93" s="554">
        <f t="shared" si="274"/>
        <v>1827333.1200000001</v>
      </c>
      <c r="AD93" s="433">
        <f t="shared" si="260"/>
        <v>1712277.12</v>
      </c>
      <c r="AE93" s="11">
        <f t="shared" si="261"/>
        <v>0</v>
      </c>
      <c r="AF93" s="11">
        <f t="shared" si="261"/>
        <v>115056</v>
      </c>
      <c r="AG93" s="544">
        <f t="shared" si="262"/>
        <v>2229384.81</v>
      </c>
      <c r="AH93" s="11"/>
      <c r="AI93" s="1084"/>
      <c r="AJ93" s="850"/>
      <c r="AK93" s="850"/>
      <c r="AL93" s="441">
        <v>19034.72</v>
      </c>
      <c r="AM93" s="557">
        <f t="shared" si="226"/>
        <v>0</v>
      </c>
      <c r="AN93" s="1233"/>
      <c r="AO93" s="17">
        <v>8</v>
      </c>
      <c r="AP93" s="17"/>
      <c r="AQ93" s="554">
        <f t="shared" si="275"/>
        <v>1827333.1</v>
      </c>
      <c r="AR93" s="545">
        <f t="shared" si="247"/>
        <v>1827333.1</v>
      </c>
      <c r="AS93" s="11">
        <f t="shared" si="263"/>
        <v>1712277.1</v>
      </c>
      <c r="AT93" s="11">
        <f t="shared" si="276"/>
        <v>0</v>
      </c>
      <c r="AU93" s="11">
        <f t="shared" si="264"/>
        <v>115056</v>
      </c>
      <c r="AV93" s="545">
        <f t="shared" si="154"/>
        <v>0</v>
      </c>
      <c r="AW93" s="11">
        <f t="shared" si="265"/>
        <v>0</v>
      </c>
      <c r="AX93" s="11">
        <f t="shared" si="266"/>
        <v>0</v>
      </c>
      <c r="AY93" s="11">
        <f t="shared" si="266"/>
        <v>0</v>
      </c>
      <c r="AZ93" s="18">
        <f t="shared" si="277"/>
        <v>0</v>
      </c>
      <c r="BA93" s="18">
        <f t="shared" si="267"/>
        <v>115056</v>
      </c>
      <c r="BB93" s="19">
        <f t="shared" si="278"/>
        <v>1712277.1</v>
      </c>
      <c r="BC93" s="544">
        <f t="shared" si="279"/>
        <v>2229384.7999999998</v>
      </c>
      <c r="BD93" s="544"/>
      <c r="BE93" s="11"/>
      <c r="BF93" s="445"/>
      <c r="BG93" s="439"/>
      <c r="BH93" s="439"/>
      <c r="BI93" s="11"/>
    </row>
    <row r="94" spans="1:61">
      <c r="A94" s="11">
        <v>5</v>
      </c>
      <c r="B94" s="13" t="s">
        <v>73</v>
      </c>
      <c r="C94" s="17"/>
      <c r="D94" s="17"/>
      <c r="E94" s="11"/>
      <c r="F94" s="11"/>
      <c r="G94" s="555"/>
      <c r="H94" s="545">
        <f t="shared" si="268"/>
        <v>0</v>
      </c>
      <c r="I94" s="11">
        <f t="shared" si="255"/>
        <v>0</v>
      </c>
      <c r="J94" s="11"/>
      <c r="K94" s="11"/>
      <c r="L94" s="545">
        <f t="shared" si="269"/>
        <v>0</v>
      </c>
      <c r="M94" s="11">
        <f t="shared" si="270"/>
        <v>0</v>
      </c>
      <c r="N94" s="862">
        <f t="shared" si="271"/>
        <v>0</v>
      </c>
      <c r="O94" s="439"/>
      <c r="P94" s="444"/>
      <c r="Q94" s="17"/>
      <c r="R94" s="555"/>
      <c r="S94" s="555"/>
      <c r="T94" s="554">
        <f t="shared" si="273"/>
        <v>0</v>
      </c>
      <c r="U94" s="556">
        <f t="shared" si="256"/>
        <v>0</v>
      </c>
      <c r="V94" s="433">
        <f t="shared" si="257"/>
        <v>0</v>
      </c>
      <c r="W94" s="11"/>
      <c r="X94" s="11"/>
      <c r="Y94" s="556">
        <f t="shared" si="258"/>
        <v>0</v>
      </c>
      <c r="Z94" s="11">
        <f t="shared" si="259"/>
        <v>0</v>
      </c>
      <c r="AA94" s="11"/>
      <c r="AB94" s="11"/>
      <c r="AC94" s="554">
        <f t="shared" si="274"/>
        <v>0</v>
      </c>
      <c r="AD94" s="433">
        <f t="shared" si="260"/>
        <v>0</v>
      </c>
      <c r="AE94" s="11">
        <f t="shared" si="261"/>
        <v>0</v>
      </c>
      <c r="AF94" s="11">
        <f t="shared" si="261"/>
        <v>0</v>
      </c>
      <c r="AG94" s="544">
        <f t="shared" si="262"/>
        <v>0</v>
      </c>
      <c r="AH94" s="11"/>
      <c r="AI94" s="1084"/>
      <c r="AJ94" s="850"/>
      <c r="AK94" s="850"/>
      <c r="AL94" s="557"/>
      <c r="AM94" s="557">
        <f t="shared" si="226"/>
        <v>0</v>
      </c>
      <c r="AN94" s="1233"/>
      <c r="AO94" s="17"/>
      <c r="AP94" s="17"/>
      <c r="AQ94" s="554">
        <f t="shared" si="275"/>
        <v>0</v>
      </c>
      <c r="AR94" s="545">
        <f t="shared" si="247"/>
        <v>0</v>
      </c>
      <c r="AS94" s="11">
        <f t="shared" si="263"/>
        <v>0</v>
      </c>
      <c r="AT94" s="11">
        <f t="shared" si="276"/>
        <v>0</v>
      </c>
      <c r="AU94" s="11">
        <f t="shared" si="264"/>
        <v>0</v>
      </c>
      <c r="AV94" s="545">
        <f t="shared" si="154"/>
        <v>0</v>
      </c>
      <c r="AW94" s="11">
        <f t="shared" si="265"/>
        <v>0</v>
      </c>
      <c r="AX94" s="11">
        <f t="shared" si="266"/>
        <v>0</v>
      </c>
      <c r="AY94" s="11">
        <f t="shared" si="266"/>
        <v>0</v>
      </c>
      <c r="AZ94" s="18">
        <f t="shared" si="277"/>
        <v>0</v>
      </c>
      <c r="BA94" s="18">
        <f t="shared" si="267"/>
        <v>0</v>
      </c>
      <c r="BB94" s="19">
        <f t="shared" si="278"/>
        <v>0</v>
      </c>
      <c r="BC94" s="544">
        <f t="shared" si="279"/>
        <v>0</v>
      </c>
      <c r="BD94" s="544"/>
      <c r="BE94" s="11"/>
      <c r="BF94" s="445"/>
      <c r="BG94" s="439"/>
      <c r="BH94" s="439"/>
      <c r="BI94" s="11"/>
    </row>
    <row r="95" spans="1:61">
      <c r="A95" s="11">
        <v>6</v>
      </c>
      <c r="B95" s="13" t="s">
        <v>74</v>
      </c>
      <c r="C95" s="17">
        <v>0.7</v>
      </c>
      <c r="D95" s="17">
        <v>0</v>
      </c>
      <c r="E95" s="11">
        <v>112.7</v>
      </c>
      <c r="F95" s="11"/>
      <c r="G95" s="555">
        <v>13416.67</v>
      </c>
      <c r="H95" s="545">
        <f t="shared" si="268"/>
        <v>112.7</v>
      </c>
      <c r="I95" s="11">
        <f t="shared" si="255"/>
        <v>112.7</v>
      </c>
      <c r="J95" s="11"/>
      <c r="K95" s="11">
        <v>0</v>
      </c>
      <c r="L95" s="545">
        <f t="shared" si="269"/>
        <v>0</v>
      </c>
      <c r="M95" s="11">
        <f t="shared" si="270"/>
        <v>0</v>
      </c>
      <c r="N95" s="862">
        <f t="shared" si="271"/>
        <v>0</v>
      </c>
      <c r="O95" s="439"/>
      <c r="P95" s="444">
        <v>0.7</v>
      </c>
      <c r="Q95" s="17"/>
      <c r="R95" s="555">
        <v>13416.67</v>
      </c>
      <c r="S95" s="555"/>
      <c r="T95" s="554">
        <f t="shared" si="273"/>
        <v>112700.03</v>
      </c>
      <c r="U95" s="556">
        <f t="shared" si="256"/>
        <v>112700.03</v>
      </c>
      <c r="V95" s="433">
        <f t="shared" si="257"/>
        <v>112700.03</v>
      </c>
      <c r="W95" s="11"/>
      <c r="X95" s="11"/>
      <c r="Y95" s="556">
        <f t="shared" si="258"/>
        <v>0</v>
      </c>
      <c r="Z95" s="11">
        <f t="shared" si="259"/>
        <v>0</v>
      </c>
      <c r="AA95" s="11"/>
      <c r="AB95" s="11"/>
      <c r="AC95" s="554">
        <f t="shared" si="274"/>
        <v>112700.03</v>
      </c>
      <c r="AD95" s="433">
        <f t="shared" si="260"/>
        <v>112700.03</v>
      </c>
      <c r="AE95" s="11">
        <f t="shared" si="261"/>
        <v>0</v>
      </c>
      <c r="AF95" s="11">
        <f t="shared" si="261"/>
        <v>0</v>
      </c>
      <c r="AG95" s="544">
        <f t="shared" si="262"/>
        <v>146735.44</v>
      </c>
      <c r="AH95" s="11"/>
      <c r="AI95" s="1084"/>
      <c r="AJ95" s="850"/>
      <c r="AK95" s="850"/>
      <c r="AL95" s="557">
        <v>13416.67</v>
      </c>
      <c r="AM95" s="557">
        <f t="shared" si="226"/>
        <v>0</v>
      </c>
      <c r="AN95" s="1233"/>
      <c r="AO95" s="17">
        <v>0.7</v>
      </c>
      <c r="AP95" s="17"/>
      <c r="AQ95" s="554">
        <f t="shared" si="275"/>
        <v>112700</v>
      </c>
      <c r="AR95" s="545">
        <f t="shared" si="247"/>
        <v>112700</v>
      </c>
      <c r="AS95" s="11">
        <f t="shared" si="263"/>
        <v>112700</v>
      </c>
      <c r="AT95" s="11">
        <f t="shared" si="276"/>
        <v>0</v>
      </c>
      <c r="AU95" s="11">
        <f t="shared" si="264"/>
        <v>0</v>
      </c>
      <c r="AV95" s="545">
        <f t="shared" si="154"/>
        <v>0</v>
      </c>
      <c r="AW95" s="11">
        <f t="shared" si="265"/>
        <v>0</v>
      </c>
      <c r="AX95" s="11">
        <f t="shared" si="266"/>
        <v>0</v>
      </c>
      <c r="AY95" s="11">
        <f t="shared" si="266"/>
        <v>0</v>
      </c>
      <c r="AZ95" s="18">
        <f t="shared" si="277"/>
        <v>0</v>
      </c>
      <c r="BA95" s="18">
        <f t="shared" si="267"/>
        <v>0</v>
      </c>
      <c r="BB95" s="19">
        <f t="shared" si="278"/>
        <v>112700</v>
      </c>
      <c r="BC95" s="544">
        <f t="shared" si="279"/>
        <v>146735.4</v>
      </c>
      <c r="BD95" s="544"/>
      <c r="BE95" s="11"/>
      <c r="BF95" s="445"/>
      <c r="BG95" s="439"/>
      <c r="BH95" s="439"/>
      <c r="BI95" s="11"/>
    </row>
    <row r="96" spans="1:61">
      <c r="A96" s="11">
        <v>7</v>
      </c>
      <c r="B96" s="1131" t="s">
        <v>814</v>
      </c>
      <c r="C96" s="17">
        <v>295.3</v>
      </c>
      <c r="D96" s="17">
        <v>13.5</v>
      </c>
      <c r="E96" s="11">
        <v>25766.2</v>
      </c>
      <c r="F96" s="11">
        <v>1124.5999999999999</v>
      </c>
      <c r="G96" s="555">
        <v>7271.19</v>
      </c>
      <c r="H96" s="545">
        <f t="shared" si="268"/>
        <v>25766.2</v>
      </c>
      <c r="I96" s="11">
        <f t="shared" si="255"/>
        <v>25744.600000000002</v>
      </c>
      <c r="J96" s="11"/>
      <c r="K96" s="11">
        <v>21.6</v>
      </c>
      <c r="L96" s="545">
        <f t="shared" si="269"/>
        <v>1124.5999999999999</v>
      </c>
      <c r="M96" s="11">
        <f t="shared" si="270"/>
        <v>1124.5999999999999</v>
      </c>
      <c r="N96" s="862">
        <f t="shared" si="271"/>
        <v>7</v>
      </c>
      <c r="O96" s="439"/>
      <c r="P96" s="444">
        <v>302.3</v>
      </c>
      <c r="Q96" s="17">
        <v>14.8</v>
      </c>
      <c r="R96" s="555">
        <v>7271.19</v>
      </c>
      <c r="S96" s="555">
        <f t="shared" si="272"/>
        <v>6941.98</v>
      </c>
      <c r="T96" s="554">
        <f t="shared" si="273"/>
        <v>27609864.489999998</v>
      </c>
      <c r="U96" s="556">
        <f t="shared" si="256"/>
        <v>26376968.84</v>
      </c>
      <c r="V96" s="433">
        <f t="shared" si="257"/>
        <v>26354936.84</v>
      </c>
      <c r="W96" s="11"/>
      <c r="X96" s="11">
        <v>22032</v>
      </c>
      <c r="Y96" s="556">
        <f t="shared" si="258"/>
        <v>1232895.6499999999</v>
      </c>
      <c r="Z96" s="11">
        <f t="shared" si="259"/>
        <v>1232895.6499999999</v>
      </c>
      <c r="AA96" s="11"/>
      <c r="AB96" s="11"/>
      <c r="AC96" s="554">
        <f t="shared" si="274"/>
        <v>27609864.489999998</v>
      </c>
      <c r="AD96" s="433">
        <f t="shared" si="260"/>
        <v>27587832.489999998</v>
      </c>
      <c r="AE96" s="11">
        <f t="shared" si="261"/>
        <v>0</v>
      </c>
      <c r="AF96" s="11">
        <f t="shared" si="261"/>
        <v>22032</v>
      </c>
      <c r="AG96" s="544">
        <f t="shared" si="262"/>
        <v>35919357.899999999</v>
      </c>
      <c r="AH96" s="11"/>
      <c r="AI96" s="1084"/>
      <c r="AJ96" s="850"/>
      <c r="AK96" s="850"/>
      <c r="AL96" s="557">
        <v>7271.19</v>
      </c>
      <c r="AM96" s="557">
        <f t="shared" si="226"/>
        <v>6941.98</v>
      </c>
      <c r="AN96" s="1233"/>
      <c r="AO96" s="17">
        <v>302.3</v>
      </c>
      <c r="AP96" s="17">
        <v>14.8</v>
      </c>
      <c r="AQ96" s="554">
        <f t="shared" si="275"/>
        <v>27609864.449999999</v>
      </c>
      <c r="AR96" s="545">
        <f t="shared" si="247"/>
        <v>26376968.800000001</v>
      </c>
      <c r="AS96" s="11">
        <f t="shared" si="263"/>
        <v>26354936.800000001</v>
      </c>
      <c r="AT96" s="11">
        <f t="shared" si="276"/>
        <v>0</v>
      </c>
      <c r="AU96" s="11">
        <f t="shared" si="264"/>
        <v>22032</v>
      </c>
      <c r="AV96" s="545">
        <f t="shared" si="154"/>
        <v>1232895.6499999999</v>
      </c>
      <c r="AW96" s="11">
        <f t="shared" si="265"/>
        <v>1232895.6499999999</v>
      </c>
      <c r="AX96" s="11">
        <f t="shared" si="266"/>
        <v>0</v>
      </c>
      <c r="AY96" s="11">
        <f t="shared" si="266"/>
        <v>0</v>
      </c>
      <c r="AZ96" s="18">
        <f t="shared" si="277"/>
        <v>0</v>
      </c>
      <c r="BA96" s="18">
        <f t="shared" si="267"/>
        <v>22032</v>
      </c>
      <c r="BB96" s="19">
        <f t="shared" si="278"/>
        <v>27587832.449999999</v>
      </c>
      <c r="BC96" s="544">
        <f t="shared" si="279"/>
        <v>35919357.799999997</v>
      </c>
      <c r="BD96" s="544"/>
      <c r="BE96" s="11"/>
      <c r="BF96" s="445"/>
      <c r="BG96" s="439"/>
      <c r="BH96" s="439"/>
      <c r="BI96" s="11"/>
    </row>
    <row r="97" spans="1:61">
      <c r="A97" s="11"/>
      <c r="B97" s="1132" t="s">
        <v>815</v>
      </c>
      <c r="C97" s="17"/>
      <c r="D97" s="17"/>
      <c r="E97" s="11"/>
      <c r="F97" s="11"/>
      <c r="G97" s="555"/>
      <c r="H97" s="545"/>
      <c r="I97" s="11"/>
      <c r="J97" s="11"/>
      <c r="K97" s="11"/>
      <c r="L97" s="545"/>
      <c r="M97" s="11"/>
      <c r="N97" s="862"/>
      <c r="O97" s="439"/>
      <c r="P97" s="444"/>
      <c r="Q97" s="17"/>
      <c r="R97" s="555"/>
      <c r="S97" s="555"/>
      <c r="T97" s="554"/>
      <c r="U97" s="556"/>
      <c r="V97" s="433"/>
      <c r="W97" s="11"/>
      <c r="X97" s="11"/>
      <c r="Y97" s="556"/>
      <c r="Z97" s="11"/>
      <c r="AA97" s="11"/>
      <c r="AB97" s="11"/>
      <c r="AC97" s="554"/>
      <c r="AD97" s="433"/>
      <c r="AE97" s="11"/>
      <c r="AF97" s="11"/>
      <c r="AG97" s="544"/>
      <c r="AH97" s="11"/>
      <c r="AI97" s="1084"/>
      <c r="AJ97" s="850"/>
      <c r="AK97" s="850"/>
      <c r="AL97" s="557"/>
      <c r="AM97" s="557"/>
      <c r="AN97" s="1233"/>
      <c r="AO97" s="17"/>
      <c r="AP97" s="17"/>
      <c r="AQ97" s="554"/>
      <c r="AR97" s="545"/>
      <c r="AS97" s="11"/>
      <c r="AT97" s="11"/>
      <c r="AU97" s="11"/>
      <c r="AV97" s="545"/>
      <c r="AW97" s="11"/>
      <c r="AX97" s="11"/>
      <c r="AY97" s="11"/>
      <c r="AZ97" s="18"/>
      <c r="BA97" s="18"/>
      <c r="BB97" s="19"/>
      <c r="BC97" s="544"/>
      <c r="BD97" s="544"/>
      <c r="BE97" s="1045"/>
      <c r="BF97" s="445"/>
      <c r="BG97" s="1130"/>
      <c r="BH97" s="1130"/>
      <c r="BI97" s="11"/>
    </row>
    <row r="98" spans="1:61" ht="19.149999999999999" customHeight="1">
      <c r="A98" s="684">
        <v>10</v>
      </c>
      <c r="B98" s="685" t="s">
        <v>97</v>
      </c>
      <c r="C98" s="684">
        <f>C99+C100+C101+C102+C103+C104+C105</f>
        <v>84.6</v>
      </c>
      <c r="D98" s="684">
        <f>D99+D100+D101+D102+D103+D104+D105</f>
        <v>0.6</v>
      </c>
      <c r="E98" s="684">
        <f>SUM(E99:E105)</f>
        <v>16168.199999999999</v>
      </c>
      <c r="F98" s="684">
        <f t="shared" ref="F98:AG98" si="280">F99+F100+F101+F102+F103+F104+F105</f>
        <v>78</v>
      </c>
      <c r="G98" s="686">
        <v>15926.12</v>
      </c>
      <c r="H98" s="684">
        <f t="shared" si="280"/>
        <v>16168.199999999999</v>
      </c>
      <c r="I98" s="684">
        <f t="shared" si="280"/>
        <v>15523.599999999999</v>
      </c>
      <c r="J98" s="684">
        <f t="shared" si="280"/>
        <v>0</v>
      </c>
      <c r="K98" s="684">
        <f t="shared" si="280"/>
        <v>644.6</v>
      </c>
      <c r="L98" s="684">
        <f t="shared" si="280"/>
        <v>78</v>
      </c>
      <c r="M98" s="684">
        <f t="shared" si="280"/>
        <v>78</v>
      </c>
      <c r="N98" s="684">
        <f t="shared" si="280"/>
        <v>0</v>
      </c>
      <c r="O98" s="687">
        <f t="shared" si="280"/>
        <v>-1.0999999999999943</v>
      </c>
      <c r="P98" s="688">
        <f t="shared" si="280"/>
        <v>83.5</v>
      </c>
      <c r="Q98" s="684">
        <f t="shared" si="280"/>
        <v>3</v>
      </c>
      <c r="R98" s="686">
        <v>15926.12</v>
      </c>
      <c r="S98" s="686"/>
      <c r="T98" s="689">
        <f>SUM(T99:T105)</f>
        <v>16183736.640000001</v>
      </c>
      <c r="U98" s="684">
        <f t="shared" ref="U98:AB98" si="281">U99+U100+U101+U102+U103+U104+U105</f>
        <v>15834736.560000001</v>
      </c>
      <c r="V98" s="684">
        <f t="shared" si="281"/>
        <v>15190118.560000001</v>
      </c>
      <c r="W98" s="684">
        <f t="shared" si="281"/>
        <v>0</v>
      </c>
      <c r="X98" s="684">
        <f t="shared" si="281"/>
        <v>644618</v>
      </c>
      <c r="Y98" s="684">
        <f t="shared" si="281"/>
        <v>349000.07999999996</v>
      </c>
      <c r="Z98" s="684">
        <f t="shared" si="281"/>
        <v>349000.07999999996</v>
      </c>
      <c r="AA98" s="684">
        <f t="shared" si="281"/>
        <v>0</v>
      </c>
      <c r="AB98" s="684">
        <f t="shared" si="281"/>
        <v>0</v>
      </c>
      <c r="AC98" s="684">
        <f t="shared" si="280"/>
        <v>16183736.640000001</v>
      </c>
      <c r="AD98" s="684">
        <f t="shared" si="280"/>
        <v>15539118.640000001</v>
      </c>
      <c r="AE98" s="684">
        <f t="shared" si="280"/>
        <v>0</v>
      </c>
      <c r="AF98" s="684">
        <f t="shared" si="280"/>
        <v>644618</v>
      </c>
      <c r="AG98" s="684">
        <f t="shared" si="280"/>
        <v>20231932.469999999</v>
      </c>
      <c r="AH98" s="686">
        <v>950000</v>
      </c>
      <c r="AI98" s="1091">
        <v>21305678.710000001</v>
      </c>
      <c r="AJ98" s="765">
        <f>AH98+AG98</f>
        <v>21181932.469999999</v>
      </c>
      <c r="AK98" s="876">
        <f>AJ98-AI98</f>
        <v>-123746.24000000209</v>
      </c>
      <c r="AL98" s="692">
        <v>15926.12</v>
      </c>
      <c r="AM98" s="692">
        <f t="shared" si="226"/>
        <v>0</v>
      </c>
      <c r="AN98" s="684">
        <f>AN99+AN100+AN101+AN102+AN103+AN104+AN105</f>
        <v>0</v>
      </c>
      <c r="AO98" s="684">
        <f>AO99+AO100+AO101+AO102+AO103+AO104+AO105</f>
        <v>83.5</v>
      </c>
      <c r="AP98" s="684">
        <f t="shared" ref="AP98:BC98" si="282">AP99+AP100+AP101+AP102+AP103+AP104+AP105</f>
        <v>3</v>
      </c>
      <c r="AQ98" s="689">
        <f>SUM(AQ99:AQ105)</f>
        <v>16183736.68</v>
      </c>
      <c r="AR98" s="684">
        <f t="shared" si="247"/>
        <v>15957972.199999999</v>
      </c>
      <c r="AS98" s="684">
        <f t="shared" si="282"/>
        <v>15190118.600000001</v>
      </c>
      <c r="AT98" s="684">
        <f t="shared" si="282"/>
        <v>0</v>
      </c>
      <c r="AU98" s="684">
        <f t="shared" si="282"/>
        <v>644618</v>
      </c>
      <c r="AV98" s="684">
        <f t="shared" si="154"/>
        <v>0</v>
      </c>
      <c r="AW98" s="684">
        <f>AW99+AW100+AW101+AW102+AW103+AW104+AW105</f>
        <v>349000.07999999996</v>
      </c>
      <c r="AX98" s="684">
        <f t="shared" si="282"/>
        <v>0</v>
      </c>
      <c r="AY98" s="684">
        <f t="shared" si="282"/>
        <v>0</v>
      </c>
      <c r="AZ98" s="684">
        <f t="shared" si="282"/>
        <v>0</v>
      </c>
      <c r="BA98" s="684">
        <f t="shared" si="282"/>
        <v>644618</v>
      </c>
      <c r="BB98" s="684">
        <f t="shared" si="282"/>
        <v>15539118.68</v>
      </c>
      <c r="BC98" s="684">
        <f t="shared" si="282"/>
        <v>20231932.600000001</v>
      </c>
      <c r="BD98" s="686"/>
      <c r="BE98" s="693">
        <f>BD98+BC98</f>
        <v>20231932.600000001</v>
      </c>
      <c r="BF98" s="691">
        <v>21305678.710000001</v>
      </c>
      <c r="BG98" s="869">
        <f>BE98-BF98</f>
        <v>-1073746.1099999994</v>
      </c>
      <c r="BH98" s="875">
        <f>AG98+AH98</f>
        <v>21181932.469999999</v>
      </c>
      <c r="BI98" s="876">
        <f>BH98-AI98</f>
        <v>-123746.24000000209</v>
      </c>
    </row>
    <row r="99" spans="1:61">
      <c r="A99" s="11">
        <v>1</v>
      </c>
      <c r="B99" s="694" t="s">
        <v>71</v>
      </c>
      <c r="C99" s="695">
        <v>3</v>
      </c>
      <c r="D99" s="695"/>
      <c r="E99" s="11">
        <v>876.8</v>
      </c>
      <c r="F99" s="11"/>
      <c r="G99" s="696">
        <v>24355.56</v>
      </c>
      <c r="H99" s="684">
        <f>I99+J99+K99</f>
        <v>876.8</v>
      </c>
      <c r="I99" s="11">
        <f t="shared" ref="I99:I105" si="283">E99-K99-J99</f>
        <v>876.8</v>
      </c>
      <c r="J99" s="11"/>
      <c r="K99" s="11">
        <f>'[4]Смарт 2015'!G118</f>
        <v>0</v>
      </c>
      <c r="L99" s="545">
        <f t="shared" ref="L99:L105" si="284">M99+N99</f>
        <v>0</v>
      </c>
      <c r="M99" s="11">
        <f>F99-N99</f>
        <v>0</v>
      </c>
      <c r="N99" s="11"/>
      <c r="O99" s="861">
        <f>P99-C99</f>
        <v>0</v>
      </c>
      <c r="P99" s="695">
        <v>3</v>
      </c>
      <c r="Q99" s="695"/>
      <c r="R99" s="696">
        <v>24355.56</v>
      </c>
      <c r="S99" s="696"/>
      <c r="T99" s="698">
        <f>U99+Y99</f>
        <v>876800.16</v>
      </c>
      <c r="U99" s="699">
        <f t="shared" ref="U99:U105" si="285">ROUND(R99*P99*12,2)</f>
        <v>876800.16</v>
      </c>
      <c r="V99" s="433">
        <f t="shared" ref="V99:V105" si="286">U99-W99-X99</f>
        <v>858632.16</v>
      </c>
      <c r="W99" s="11"/>
      <c r="X99" s="11">
        <v>18168</v>
      </c>
      <c r="Y99" s="699">
        <f t="shared" ref="Y99:Y105" si="287">ROUND(S99*Q99*12,2)</f>
        <v>0</v>
      </c>
      <c r="Z99" s="11">
        <f t="shared" ref="Z99:Z105" si="288">Y99-AA99-AB99</f>
        <v>0</v>
      </c>
      <c r="AA99" s="11"/>
      <c r="AB99" s="11"/>
      <c r="AC99" s="698">
        <f t="shared" ref="AC99:AC105" si="289">AD99+AE99+AF99</f>
        <v>876800.16</v>
      </c>
      <c r="AD99" s="433">
        <f t="shared" ref="AD99:AD105" si="290">ROUND((Z99+V99),2)</f>
        <v>858632.16</v>
      </c>
      <c r="AE99" s="11">
        <f t="shared" ref="AE99:AF105" si="291">AA99+W99</f>
        <v>0</v>
      </c>
      <c r="AF99" s="11">
        <f t="shared" si="291"/>
        <v>18168</v>
      </c>
      <c r="AG99" s="700">
        <f t="shared" ref="AG99:AG105" si="292">ROUND(AD99*1.302,2)</f>
        <v>1117939.07</v>
      </c>
      <c r="AH99" s="881">
        <v>950000</v>
      </c>
      <c r="AI99" s="1092" t="s">
        <v>702</v>
      </c>
      <c r="AJ99" s="1095"/>
      <c r="AK99" s="1095"/>
      <c r="AL99" s="702">
        <v>24355.56</v>
      </c>
      <c r="AM99" s="702">
        <f t="shared" si="226"/>
        <v>0</v>
      </c>
      <c r="AN99" s="1233"/>
      <c r="AO99" s="695">
        <v>3</v>
      </c>
      <c r="AP99" s="695"/>
      <c r="AQ99" s="698">
        <f>AR99+AV99</f>
        <v>876800.2</v>
      </c>
      <c r="AR99" s="684">
        <f t="shared" si="247"/>
        <v>876800.2</v>
      </c>
      <c r="AS99" s="11">
        <f t="shared" ref="AS99:AS105" si="293">AR99-AT99-AU99</f>
        <v>858632.2</v>
      </c>
      <c r="AT99" s="11">
        <f>W99</f>
        <v>0</v>
      </c>
      <c r="AU99" s="11">
        <f t="shared" ref="AU99:AU105" si="294">X99</f>
        <v>18168</v>
      </c>
      <c r="AV99" s="684">
        <f t="shared" si="154"/>
        <v>0</v>
      </c>
      <c r="AW99" s="11">
        <f t="shared" ref="AW99:AW105" si="295">AV99-AX99-AY99</f>
        <v>0</v>
      </c>
      <c r="AX99" s="11">
        <f t="shared" ref="AX99:AY105" si="296">AA99</f>
        <v>0</v>
      </c>
      <c r="AY99" s="11">
        <f t="shared" si="296"/>
        <v>0</v>
      </c>
      <c r="AZ99" s="18">
        <f>AX99+AT99</f>
        <v>0</v>
      </c>
      <c r="BA99" s="18">
        <f t="shared" ref="BA99:BA105" si="297">AY99+AU99</f>
        <v>18168</v>
      </c>
      <c r="BB99" s="703">
        <f>AW99+AS99</f>
        <v>858632.2</v>
      </c>
      <c r="BC99" s="700">
        <f>ROUND(BB99*1.302,1)</f>
        <v>1117939.1000000001</v>
      </c>
      <c r="BD99" s="700"/>
      <c r="BE99" s="11"/>
      <c r="BF99" s="701"/>
      <c r="BG99" s="439"/>
      <c r="BH99" s="439"/>
      <c r="BI99" s="11"/>
    </row>
    <row r="100" spans="1:61">
      <c r="A100" s="11">
        <v>2</v>
      </c>
      <c r="B100" s="694" t="s">
        <v>72</v>
      </c>
      <c r="C100" s="695">
        <v>2.5</v>
      </c>
      <c r="D100" s="695"/>
      <c r="E100" s="11">
        <v>526.29999999999995</v>
      </c>
      <c r="F100" s="11">
        <v>0</v>
      </c>
      <c r="G100" s="696">
        <v>17543.330000000002</v>
      </c>
      <c r="H100" s="684">
        <f t="shared" ref="H100:H105" si="298">I100+J100+K100</f>
        <v>526.29999999999995</v>
      </c>
      <c r="I100" s="11">
        <f t="shared" si="283"/>
        <v>526.29999999999995</v>
      </c>
      <c r="J100" s="11"/>
      <c r="K100" s="11">
        <f>'[4]Смарт 2015'!G114</f>
        <v>0</v>
      </c>
      <c r="L100" s="545">
        <f t="shared" si="284"/>
        <v>0</v>
      </c>
      <c r="M100" s="11">
        <f t="shared" ref="M100:M105" si="299">F100-N100</f>
        <v>0</v>
      </c>
      <c r="N100" s="11"/>
      <c r="O100" s="861">
        <f t="shared" ref="O100:O105" si="300">P100-C100</f>
        <v>0</v>
      </c>
      <c r="P100" s="695">
        <v>2.5</v>
      </c>
      <c r="Q100" s="695"/>
      <c r="R100" s="696">
        <v>17543.330000000002</v>
      </c>
      <c r="S100" s="696"/>
      <c r="T100" s="698">
        <f t="shared" ref="T100:T105" si="301">U100+Y100</f>
        <v>526299.9</v>
      </c>
      <c r="U100" s="699">
        <f t="shared" si="285"/>
        <v>526299.9</v>
      </c>
      <c r="V100" s="433">
        <f t="shared" si="286"/>
        <v>508299.9</v>
      </c>
      <c r="W100" s="11"/>
      <c r="X100" s="11">
        <v>18000</v>
      </c>
      <c r="Y100" s="699">
        <f t="shared" si="287"/>
        <v>0</v>
      </c>
      <c r="Z100" s="11">
        <f t="shared" si="288"/>
        <v>0</v>
      </c>
      <c r="AA100" s="11"/>
      <c r="AB100" s="11"/>
      <c r="AC100" s="698">
        <f t="shared" si="289"/>
        <v>526299.9</v>
      </c>
      <c r="AD100" s="433">
        <f t="shared" si="290"/>
        <v>508299.9</v>
      </c>
      <c r="AE100" s="11">
        <f t="shared" si="291"/>
        <v>0</v>
      </c>
      <c r="AF100" s="11">
        <f t="shared" si="291"/>
        <v>18000</v>
      </c>
      <c r="AG100" s="700">
        <f t="shared" si="292"/>
        <v>661806.47</v>
      </c>
      <c r="AH100" s="11"/>
      <c r="AI100" s="1082"/>
      <c r="AJ100" s="910"/>
      <c r="AK100" s="910"/>
      <c r="AL100" s="702">
        <v>17543.330000000002</v>
      </c>
      <c r="AM100" s="702">
        <f t="shared" si="226"/>
        <v>0</v>
      </c>
      <c r="AN100" s="1233"/>
      <c r="AO100" s="695">
        <v>2.5</v>
      </c>
      <c r="AP100" s="695"/>
      <c r="AQ100" s="698">
        <f t="shared" ref="AQ100:AQ105" si="302">AR100+AV100</f>
        <v>526299.9</v>
      </c>
      <c r="AR100" s="684">
        <f t="shared" si="247"/>
        <v>526299.9</v>
      </c>
      <c r="AS100" s="11">
        <f t="shared" si="293"/>
        <v>508299.9</v>
      </c>
      <c r="AT100" s="11">
        <f t="shared" ref="AT100:AT105" si="303">W100</f>
        <v>0</v>
      </c>
      <c r="AU100" s="11">
        <f t="shared" si="294"/>
        <v>18000</v>
      </c>
      <c r="AV100" s="684">
        <f t="shared" si="154"/>
        <v>0</v>
      </c>
      <c r="AW100" s="11">
        <f t="shared" si="295"/>
        <v>0</v>
      </c>
      <c r="AX100" s="11">
        <f t="shared" si="296"/>
        <v>0</v>
      </c>
      <c r="AY100" s="11">
        <f t="shared" si="296"/>
        <v>0</v>
      </c>
      <c r="AZ100" s="18">
        <f t="shared" ref="AZ100:AZ105" si="304">AX100+AT100</f>
        <v>0</v>
      </c>
      <c r="BA100" s="18">
        <f t="shared" si="297"/>
        <v>18000</v>
      </c>
      <c r="BB100" s="703">
        <f t="shared" ref="BB100:BB105" si="305">AW100+AS100</f>
        <v>508299.9</v>
      </c>
      <c r="BC100" s="700">
        <f t="shared" ref="BC100:BC105" si="306">ROUND(BB100*1.302,1)</f>
        <v>661806.5</v>
      </c>
      <c r="BD100" s="700"/>
      <c r="BE100" s="11"/>
      <c r="BF100" s="701"/>
      <c r="BG100" s="439"/>
      <c r="BH100" s="439"/>
      <c r="BI100" s="11"/>
    </row>
    <row r="101" spans="1:61">
      <c r="A101" s="11">
        <v>3</v>
      </c>
      <c r="B101" s="704" t="s">
        <v>76</v>
      </c>
      <c r="C101" s="695">
        <v>39.299999999999997</v>
      </c>
      <c r="D101" s="695">
        <v>0.3</v>
      </c>
      <c r="E101" s="11">
        <v>10699.8</v>
      </c>
      <c r="F101" s="11">
        <v>51.3</v>
      </c>
      <c r="G101" s="705">
        <v>22688.3</v>
      </c>
      <c r="H101" s="684">
        <f t="shared" si="298"/>
        <v>10699.8</v>
      </c>
      <c r="I101" s="11">
        <f t="shared" si="283"/>
        <v>10055.199999999999</v>
      </c>
      <c r="J101" s="11"/>
      <c r="K101" s="11">
        <v>644.6</v>
      </c>
      <c r="L101" s="545">
        <f t="shared" si="284"/>
        <v>51.3</v>
      </c>
      <c r="M101" s="11">
        <f t="shared" si="299"/>
        <v>51.3</v>
      </c>
      <c r="N101" s="11"/>
      <c r="O101" s="861">
        <f t="shared" si="300"/>
        <v>-1.2999999999999972</v>
      </c>
      <c r="P101" s="695">
        <v>38</v>
      </c>
      <c r="Q101" s="695">
        <v>1</v>
      </c>
      <c r="R101" s="705">
        <v>22688.3</v>
      </c>
      <c r="S101" s="696">
        <f>ROUND(F101/D101/12*1000,2)</f>
        <v>14250</v>
      </c>
      <c r="T101" s="720">
        <f t="shared" si="301"/>
        <v>10516864.800000001</v>
      </c>
      <c r="U101" s="721">
        <f t="shared" si="285"/>
        <v>10345864.800000001</v>
      </c>
      <c r="V101" s="722">
        <f t="shared" si="286"/>
        <v>9737414.8000000007</v>
      </c>
      <c r="W101" s="11"/>
      <c r="X101" s="11">
        <v>608450</v>
      </c>
      <c r="Y101" s="699">
        <f t="shared" si="287"/>
        <v>171000</v>
      </c>
      <c r="Z101" s="11">
        <f t="shared" si="288"/>
        <v>171000</v>
      </c>
      <c r="AA101" s="11"/>
      <c r="AB101" s="11"/>
      <c r="AC101" s="720">
        <f t="shared" si="289"/>
        <v>10516864.800000001</v>
      </c>
      <c r="AD101" s="433">
        <f t="shared" si="290"/>
        <v>9908414.8000000007</v>
      </c>
      <c r="AE101" s="11">
        <f t="shared" si="291"/>
        <v>0</v>
      </c>
      <c r="AF101" s="11">
        <f t="shared" si="291"/>
        <v>608450</v>
      </c>
      <c r="AG101" s="700">
        <f t="shared" si="292"/>
        <v>12900756.07</v>
      </c>
      <c r="AH101" s="11"/>
      <c r="AI101" s="1082"/>
      <c r="AJ101" s="910"/>
      <c r="AK101" s="910"/>
      <c r="AL101" s="706">
        <v>22688.3</v>
      </c>
      <c r="AM101" s="702">
        <f t="shared" si="226"/>
        <v>14250</v>
      </c>
      <c r="AN101" s="1233"/>
      <c r="AO101" s="695">
        <v>38</v>
      </c>
      <c r="AP101" s="695">
        <v>1</v>
      </c>
      <c r="AQ101" s="720">
        <f t="shared" si="302"/>
        <v>10516864.800000001</v>
      </c>
      <c r="AR101" s="684">
        <f t="shared" si="247"/>
        <v>10345864.800000001</v>
      </c>
      <c r="AS101" s="11">
        <f t="shared" si="293"/>
        <v>9737414.8000000007</v>
      </c>
      <c r="AT101" s="11">
        <f t="shared" si="303"/>
        <v>0</v>
      </c>
      <c r="AU101" s="11">
        <f t="shared" si="294"/>
        <v>608450</v>
      </c>
      <c r="AV101" s="684">
        <f t="shared" si="154"/>
        <v>171000</v>
      </c>
      <c r="AW101" s="11">
        <f t="shared" si="295"/>
        <v>171000</v>
      </c>
      <c r="AX101" s="11">
        <f t="shared" si="296"/>
        <v>0</v>
      </c>
      <c r="AY101" s="11">
        <f t="shared" si="296"/>
        <v>0</v>
      </c>
      <c r="AZ101" s="18">
        <f t="shared" si="304"/>
        <v>0</v>
      </c>
      <c r="BA101" s="18">
        <f t="shared" si="297"/>
        <v>608450</v>
      </c>
      <c r="BB101" s="703">
        <f t="shared" si="305"/>
        <v>9908414.8000000007</v>
      </c>
      <c r="BC101" s="700">
        <f t="shared" si="306"/>
        <v>12900756.1</v>
      </c>
      <c r="BD101" s="700"/>
      <c r="BE101" s="11"/>
      <c r="BF101" s="701"/>
      <c r="BG101" s="439"/>
      <c r="BH101" s="439"/>
      <c r="BI101" s="11"/>
    </row>
    <row r="102" spans="1:61">
      <c r="A102" s="11">
        <v>4</v>
      </c>
      <c r="B102" s="704" t="s">
        <v>77</v>
      </c>
      <c r="C102" s="695"/>
      <c r="D102" s="695"/>
      <c r="E102" s="11"/>
      <c r="F102" s="11"/>
      <c r="G102" s="696"/>
      <c r="H102" s="684">
        <f t="shared" si="298"/>
        <v>0</v>
      </c>
      <c r="I102" s="11">
        <f t="shared" si="283"/>
        <v>0</v>
      </c>
      <c r="J102" s="11"/>
      <c r="K102" s="11"/>
      <c r="L102" s="545">
        <f t="shared" si="284"/>
        <v>0</v>
      </c>
      <c r="M102" s="11">
        <f t="shared" si="299"/>
        <v>0</v>
      </c>
      <c r="N102" s="11"/>
      <c r="O102" s="861">
        <f t="shared" si="300"/>
        <v>0</v>
      </c>
      <c r="P102" s="695"/>
      <c r="Q102" s="695"/>
      <c r="R102" s="696"/>
      <c r="S102" s="696"/>
      <c r="T102" s="698">
        <f t="shared" si="301"/>
        <v>0</v>
      </c>
      <c r="U102" s="699">
        <f t="shared" si="285"/>
        <v>0</v>
      </c>
      <c r="V102" s="433">
        <f t="shared" si="286"/>
        <v>0</v>
      </c>
      <c r="W102" s="11"/>
      <c r="X102" s="11"/>
      <c r="Y102" s="699">
        <f t="shared" si="287"/>
        <v>0</v>
      </c>
      <c r="Z102" s="11">
        <f t="shared" si="288"/>
        <v>0</v>
      </c>
      <c r="AA102" s="11"/>
      <c r="AB102" s="11"/>
      <c r="AC102" s="698">
        <f t="shared" si="289"/>
        <v>0</v>
      </c>
      <c r="AD102" s="433">
        <f t="shared" si="290"/>
        <v>0</v>
      </c>
      <c r="AE102" s="11">
        <f t="shared" si="291"/>
        <v>0</v>
      </c>
      <c r="AF102" s="11">
        <f t="shared" si="291"/>
        <v>0</v>
      </c>
      <c r="AG102" s="700">
        <f t="shared" si="292"/>
        <v>0</v>
      </c>
      <c r="AH102" s="11"/>
      <c r="AI102" s="1082"/>
      <c r="AJ102" s="910"/>
      <c r="AK102" s="910"/>
      <c r="AL102" s="702"/>
      <c r="AM102" s="702">
        <f t="shared" si="226"/>
        <v>0</v>
      </c>
      <c r="AN102" s="1233"/>
      <c r="AO102" s="695"/>
      <c r="AP102" s="695"/>
      <c r="AQ102" s="698">
        <f t="shared" si="302"/>
        <v>0</v>
      </c>
      <c r="AR102" s="684">
        <f t="shared" si="247"/>
        <v>0</v>
      </c>
      <c r="AS102" s="11">
        <f t="shared" si="293"/>
        <v>0</v>
      </c>
      <c r="AT102" s="11">
        <f t="shared" si="303"/>
        <v>0</v>
      </c>
      <c r="AU102" s="11">
        <f t="shared" si="294"/>
        <v>0</v>
      </c>
      <c r="AV102" s="684">
        <f t="shared" si="154"/>
        <v>0</v>
      </c>
      <c r="AW102" s="11">
        <f t="shared" si="295"/>
        <v>0</v>
      </c>
      <c r="AX102" s="11">
        <f t="shared" si="296"/>
        <v>0</v>
      </c>
      <c r="AY102" s="11">
        <f t="shared" si="296"/>
        <v>0</v>
      </c>
      <c r="AZ102" s="18">
        <f t="shared" si="304"/>
        <v>0</v>
      </c>
      <c r="BA102" s="18">
        <f t="shared" si="297"/>
        <v>0</v>
      </c>
      <c r="BB102" s="703">
        <f t="shared" si="305"/>
        <v>0</v>
      </c>
      <c r="BC102" s="700">
        <f t="shared" si="306"/>
        <v>0</v>
      </c>
      <c r="BD102" s="700"/>
      <c r="BE102" s="11"/>
      <c r="BF102" s="701"/>
      <c r="BG102" s="439"/>
      <c r="BH102" s="439"/>
      <c r="BI102" s="11"/>
    </row>
    <row r="103" spans="1:61">
      <c r="A103" s="11">
        <v>5</v>
      </c>
      <c r="B103" s="694" t="s">
        <v>73</v>
      </c>
      <c r="C103" s="695"/>
      <c r="D103" s="695"/>
      <c r="E103" s="11"/>
      <c r="F103" s="11"/>
      <c r="G103" s="696"/>
      <c r="H103" s="684">
        <f t="shared" si="298"/>
        <v>0</v>
      </c>
      <c r="I103" s="11">
        <f t="shared" si="283"/>
        <v>0</v>
      </c>
      <c r="J103" s="11"/>
      <c r="K103" s="11"/>
      <c r="L103" s="545">
        <f t="shared" si="284"/>
        <v>0</v>
      </c>
      <c r="M103" s="11">
        <f t="shared" si="299"/>
        <v>0</v>
      </c>
      <c r="N103" s="11"/>
      <c r="O103" s="861">
        <f t="shared" si="300"/>
        <v>0</v>
      </c>
      <c r="P103" s="695"/>
      <c r="Q103" s="695"/>
      <c r="R103" s="696"/>
      <c r="S103" s="696"/>
      <c r="T103" s="698">
        <f t="shared" si="301"/>
        <v>0</v>
      </c>
      <c r="U103" s="699">
        <f t="shared" si="285"/>
        <v>0</v>
      </c>
      <c r="V103" s="433">
        <f t="shared" si="286"/>
        <v>0</v>
      </c>
      <c r="W103" s="11"/>
      <c r="X103" s="11"/>
      <c r="Y103" s="699">
        <f t="shared" si="287"/>
        <v>0</v>
      </c>
      <c r="Z103" s="11">
        <f t="shared" si="288"/>
        <v>0</v>
      </c>
      <c r="AA103" s="11"/>
      <c r="AB103" s="11"/>
      <c r="AC103" s="698">
        <f t="shared" si="289"/>
        <v>0</v>
      </c>
      <c r="AD103" s="433">
        <f t="shared" si="290"/>
        <v>0</v>
      </c>
      <c r="AE103" s="11">
        <f t="shared" si="291"/>
        <v>0</v>
      </c>
      <c r="AF103" s="11">
        <f t="shared" si="291"/>
        <v>0</v>
      </c>
      <c r="AG103" s="700">
        <f t="shared" si="292"/>
        <v>0</v>
      </c>
      <c r="AH103" s="11"/>
      <c r="AI103" s="1082"/>
      <c r="AJ103" s="910"/>
      <c r="AK103" s="910"/>
      <c r="AL103" s="702"/>
      <c r="AM103" s="702">
        <f t="shared" si="226"/>
        <v>0</v>
      </c>
      <c r="AN103" s="1233"/>
      <c r="AO103" s="695"/>
      <c r="AP103" s="695"/>
      <c r="AQ103" s="698">
        <f t="shared" si="302"/>
        <v>0</v>
      </c>
      <c r="AR103" s="684">
        <f t="shared" si="247"/>
        <v>0</v>
      </c>
      <c r="AS103" s="11">
        <f t="shared" si="293"/>
        <v>0</v>
      </c>
      <c r="AT103" s="11">
        <f t="shared" si="303"/>
        <v>0</v>
      </c>
      <c r="AU103" s="11">
        <f t="shared" si="294"/>
        <v>0</v>
      </c>
      <c r="AV103" s="684">
        <f t="shared" si="154"/>
        <v>0</v>
      </c>
      <c r="AW103" s="11">
        <f t="shared" si="295"/>
        <v>0</v>
      </c>
      <c r="AX103" s="11">
        <f t="shared" si="296"/>
        <v>0</v>
      </c>
      <c r="AY103" s="11">
        <f t="shared" si="296"/>
        <v>0</v>
      </c>
      <c r="AZ103" s="18">
        <f t="shared" si="304"/>
        <v>0</v>
      </c>
      <c r="BA103" s="18">
        <f t="shared" si="297"/>
        <v>0</v>
      </c>
      <c r="BB103" s="703">
        <f t="shared" si="305"/>
        <v>0</v>
      </c>
      <c r="BC103" s="700">
        <f t="shared" si="306"/>
        <v>0</v>
      </c>
      <c r="BD103" s="700"/>
      <c r="BE103" s="11"/>
      <c r="BF103" s="701"/>
      <c r="BG103" s="439"/>
      <c r="BH103" s="439"/>
      <c r="BI103" s="11"/>
    </row>
    <row r="104" spans="1:61">
      <c r="A104" s="11">
        <v>6</v>
      </c>
      <c r="B104" s="694" t="s">
        <v>74</v>
      </c>
      <c r="C104" s="695">
        <v>0.5</v>
      </c>
      <c r="D104" s="695">
        <v>0</v>
      </c>
      <c r="E104" s="11">
        <v>42.4</v>
      </c>
      <c r="F104" s="11"/>
      <c r="G104" s="696">
        <v>7066.67</v>
      </c>
      <c r="H104" s="684">
        <f t="shared" si="298"/>
        <v>42.4</v>
      </c>
      <c r="I104" s="11">
        <f t="shared" si="283"/>
        <v>42.4</v>
      </c>
      <c r="J104" s="11"/>
      <c r="K104" s="11"/>
      <c r="L104" s="545">
        <f t="shared" si="284"/>
        <v>0</v>
      </c>
      <c r="M104" s="11">
        <f t="shared" si="299"/>
        <v>0</v>
      </c>
      <c r="N104" s="11"/>
      <c r="O104" s="861">
        <f t="shared" si="300"/>
        <v>0</v>
      </c>
      <c r="P104" s="695">
        <v>0.5</v>
      </c>
      <c r="Q104" s="695">
        <v>0</v>
      </c>
      <c r="R104" s="696">
        <v>7066.67</v>
      </c>
      <c r="S104" s="696"/>
      <c r="T104" s="698">
        <f t="shared" si="301"/>
        <v>42400.02</v>
      </c>
      <c r="U104" s="699">
        <f t="shared" si="285"/>
        <v>42400.02</v>
      </c>
      <c r="V104" s="433">
        <f t="shared" si="286"/>
        <v>42400.02</v>
      </c>
      <c r="W104" s="11"/>
      <c r="X104" s="11"/>
      <c r="Y104" s="699">
        <f t="shared" si="287"/>
        <v>0</v>
      </c>
      <c r="Z104" s="11">
        <f t="shared" si="288"/>
        <v>0</v>
      </c>
      <c r="AA104" s="11"/>
      <c r="AB104" s="11"/>
      <c r="AC104" s="698">
        <f t="shared" si="289"/>
        <v>42400.02</v>
      </c>
      <c r="AD104" s="433">
        <f t="shared" si="290"/>
        <v>42400.02</v>
      </c>
      <c r="AE104" s="11">
        <f t="shared" si="291"/>
        <v>0</v>
      </c>
      <c r="AF104" s="11">
        <f t="shared" si="291"/>
        <v>0</v>
      </c>
      <c r="AG104" s="700">
        <f t="shared" si="292"/>
        <v>55204.83</v>
      </c>
      <c r="AH104" s="11"/>
      <c r="AI104" s="1082"/>
      <c r="AJ104" s="910"/>
      <c r="AK104" s="910"/>
      <c r="AL104" s="702">
        <v>7066.67</v>
      </c>
      <c r="AM104" s="702">
        <f t="shared" si="226"/>
        <v>0</v>
      </c>
      <c r="AN104" s="1233"/>
      <c r="AO104" s="695">
        <v>0.5</v>
      </c>
      <c r="AP104" s="695">
        <v>0</v>
      </c>
      <c r="AQ104" s="698">
        <f t="shared" si="302"/>
        <v>42400</v>
      </c>
      <c r="AR104" s="684">
        <f t="shared" si="247"/>
        <v>42400</v>
      </c>
      <c r="AS104" s="11">
        <f t="shared" si="293"/>
        <v>42400</v>
      </c>
      <c r="AT104" s="11">
        <f t="shared" si="303"/>
        <v>0</v>
      </c>
      <c r="AU104" s="11">
        <f t="shared" si="294"/>
        <v>0</v>
      </c>
      <c r="AV104" s="684">
        <f t="shared" si="154"/>
        <v>0</v>
      </c>
      <c r="AW104" s="11">
        <f t="shared" si="295"/>
        <v>0</v>
      </c>
      <c r="AX104" s="11">
        <f t="shared" si="296"/>
        <v>0</v>
      </c>
      <c r="AY104" s="11">
        <f t="shared" si="296"/>
        <v>0</v>
      </c>
      <c r="AZ104" s="18">
        <f t="shared" si="304"/>
        <v>0</v>
      </c>
      <c r="BA104" s="18">
        <f t="shared" si="297"/>
        <v>0</v>
      </c>
      <c r="BB104" s="703">
        <f t="shared" si="305"/>
        <v>42400</v>
      </c>
      <c r="BC104" s="700">
        <f t="shared" si="306"/>
        <v>55204.800000000003</v>
      </c>
      <c r="BD104" s="700"/>
      <c r="BE104" s="11"/>
      <c r="BF104" s="701"/>
      <c r="BG104" s="439"/>
      <c r="BH104" s="439"/>
      <c r="BI104" s="11"/>
    </row>
    <row r="105" spans="1:61">
      <c r="A105" s="11">
        <v>7</v>
      </c>
      <c r="B105" s="1131" t="s">
        <v>814</v>
      </c>
      <c r="C105" s="695">
        <v>39.299999999999997</v>
      </c>
      <c r="D105" s="695">
        <v>0.3</v>
      </c>
      <c r="E105" s="11">
        <v>4022.9</v>
      </c>
      <c r="F105" s="11">
        <v>26.7</v>
      </c>
      <c r="G105" s="696">
        <v>8530.32</v>
      </c>
      <c r="H105" s="684">
        <f t="shared" si="298"/>
        <v>4022.9</v>
      </c>
      <c r="I105" s="11">
        <f t="shared" si="283"/>
        <v>4022.9</v>
      </c>
      <c r="J105" s="11"/>
      <c r="K105" s="11"/>
      <c r="L105" s="545">
        <f t="shared" si="284"/>
        <v>26.7</v>
      </c>
      <c r="M105" s="11">
        <f t="shared" si="299"/>
        <v>26.7</v>
      </c>
      <c r="N105" s="11"/>
      <c r="O105" s="861">
        <f t="shared" si="300"/>
        <v>0.20000000000000284</v>
      </c>
      <c r="P105" s="695">
        <v>39.5</v>
      </c>
      <c r="Q105" s="695">
        <v>2</v>
      </c>
      <c r="R105" s="696">
        <v>8530.32</v>
      </c>
      <c r="S105" s="696">
        <f>ROUND(F105/D105/12*1000,2)</f>
        <v>7416.67</v>
      </c>
      <c r="T105" s="720">
        <f t="shared" si="301"/>
        <v>4221371.76</v>
      </c>
      <c r="U105" s="699">
        <f t="shared" si="285"/>
        <v>4043371.68</v>
      </c>
      <c r="V105" s="723">
        <f t="shared" si="286"/>
        <v>4043371.68</v>
      </c>
      <c r="W105" s="11"/>
      <c r="X105" s="11"/>
      <c r="Y105" s="699">
        <f t="shared" si="287"/>
        <v>178000.08</v>
      </c>
      <c r="Z105" s="11">
        <f t="shared" si="288"/>
        <v>178000.08</v>
      </c>
      <c r="AA105" s="11"/>
      <c r="AB105" s="11"/>
      <c r="AC105" s="698">
        <f t="shared" si="289"/>
        <v>4221371.76</v>
      </c>
      <c r="AD105" s="433">
        <f t="shared" si="290"/>
        <v>4221371.76</v>
      </c>
      <c r="AE105" s="11">
        <f t="shared" si="291"/>
        <v>0</v>
      </c>
      <c r="AF105" s="11">
        <f t="shared" si="291"/>
        <v>0</v>
      </c>
      <c r="AG105" s="700">
        <f t="shared" si="292"/>
        <v>5496226.0300000003</v>
      </c>
      <c r="AH105" s="11"/>
      <c r="AI105" s="1082"/>
      <c r="AJ105" s="910"/>
      <c r="AK105" s="910"/>
      <c r="AL105" s="702">
        <v>8530.32</v>
      </c>
      <c r="AM105" s="702">
        <f t="shared" si="226"/>
        <v>7416.67</v>
      </c>
      <c r="AN105" s="1233"/>
      <c r="AO105" s="695">
        <v>39.5</v>
      </c>
      <c r="AP105" s="695">
        <v>2</v>
      </c>
      <c r="AQ105" s="720">
        <f t="shared" si="302"/>
        <v>4221371.78</v>
      </c>
      <c r="AR105" s="684">
        <f t="shared" si="247"/>
        <v>4043371.7</v>
      </c>
      <c r="AS105" s="11">
        <f t="shared" si="293"/>
        <v>4043371.7</v>
      </c>
      <c r="AT105" s="11">
        <f t="shared" si="303"/>
        <v>0</v>
      </c>
      <c r="AU105" s="11">
        <f t="shared" si="294"/>
        <v>0</v>
      </c>
      <c r="AV105" s="684">
        <f t="shared" si="154"/>
        <v>178000.08</v>
      </c>
      <c r="AW105" s="11">
        <f t="shared" si="295"/>
        <v>178000.08</v>
      </c>
      <c r="AX105" s="11">
        <f t="shared" si="296"/>
        <v>0</v>
      </c>
      <c r="AY105" s="11">
        <f t="shared" si="296"/>
        <v>0</v>
      </c>
      <c r="AZ105" s="18">
        <f t="shared" si="304"/>
        <v>0</v>
      </c>
      <c r="BA105" s="18">
        <f t="shared" si="297"/>
        <v>0</v>
      </c>
      <c r="BB105" s="703">
        <f t="shared" si="305"/>
        <v>4221371.78</v>
      </c>
      <c r="BC105" s="700">
        <f t="shared" si="306"/>
        <v>5496226.0999999996</v>
      </c>
      <c r="BD105" s="700"/>
      <c r="BE105" s="11"/>
      <c r="BF105" s="701"/>
      <c r="BG105" s="439"/>
      <c r="BH105" s="439"/>
      <c r="BI105" s="11"/>
    </row>
    <row r="106" spans="1:61">
      <c r="A106" s="11"/>
      <c r="B106" s="1132" t="s">
        <v>815</v>
      </c>
      <c r="C106" s="695"/>
      <c r="D106" s="695"/>
      <c r="E106" s="11"/>
      <c r="F106" s="11"/>
      <c r="G106" s="696"/>
      <c r="H106" s="684"/>
      <c r="I106" s="11"/>
      <c r="J106" s="11"/>
      <c r="K106" s="11"/>
      <c r="L106" s="545"/>
      <c r="M106" s="11"/>
      <c r="N106" s="11"/>
      <c r="O106" s="861"/>
      <c r="P106" s="1158"/>
      <c r="Q106" s="695"/>
      <c r="R106" s="696"/>
      <c r="S106" s="696"/>
      <c r="T106" s="720"/>
      <c r="U106" s="699"/>
      <c r="V106" s="723"/>
      <c r="W106" s="11"/>
      <c r="X106" s="11"/>
      <c r="Y106" s="699"/>
      <c r="Z106" s="11"/>
      <c r="AA106" s="11"/>
      <c r="AB106" s="11"/>
      <c r="AC106" s="698"/>
      <c r="AD106" s="433"/>
      <c r="AE106" s="11"/>
      <c r="AF106" s="11"/>
      <c r="AG106" s="700"/>
      <c r="AH106" s="11"/>
      <c r="AI106" s="1082"/>
      <c r="AJ106" s="910"/>
      <c r="AK106" s="910"/>
      <c r="AL106" s="702"/>
      <c r="AM106" s="702"/>
      <c r="AN106" s="1233"/>
      <c r="AO106" s="695"/>
      <c r="AP106" s="695"/>
      <c r="AQ106" s="720"/>
      <c r="AR106" s="684"/>
      <c r="AS106" s="11"/>
      <c r="AT106" s="11"/>
      <c r="AU106" s="11"/>
      <c r="AV106" s="684"/>
      <c r="AW106" s="11"/>
      <c r="AX106" s="11"/>
      <c r="AY106" s="11"/>
      <c r="AZ106" s="18"/>
      <c r="BA106" s="18"/>
      <c r="BB106" s="703"/>
      <c r="BC106" s="700"/>
      <c r="BD106" s="700"/>
      <c r="BE106" s="1045"/>
      <c r="BF106" s="701"/>
      <c r="BG106" s="1130"/>
      <c r="BH106" s="1130"/>
      <c r="BI106" s="11"/>
    </row>
    <row r="107" spans="1:61" ht="19.149999999999999" customHeight="1">
      <c r="A107" s="545">
        <v>11</v>
      </c>
      <c r="B107" s="426" t="s">
        <v>98</v>
      </c>
      <c r="C107" s="545">
        <f>C108+C109+C110+C111+C112+C113+C114</f>
        <v>454.09999999999997</v>
      </c>
      <c r="D107" s="545">
        <f>D108+D109+D110+D111+D112+D113+D114</f>
        <v>29.4</v>
      </c>
      <c r="E107" s="545">
        <f>SUM(E108:E114)</f>
        <v>111085.6</v>
      </c>
      <c r="F107" s="545">
        <f t="shared" ref="F107:AG107" si="307">F108+F109+F110+F111+F112+F113+F114</f>
        <v>3158</v>
      </c>
      <c r="G107" s="558">
        <v>20385.669999999998</v>
      </c>
      <c r="H107" s="545">
        <f t="shared" si="307"/>
        <v>111085.6</v>
      </c>
      <c r="I107" s="545">
        <f t="shared" si="307"/>
        <v>109095.6</v>
      </c>
      <c r="J107" s="545">
        <f t="shared" si="307"/>
        <v>0</v>
      </c>
      <c r="K107" s="545">
        <f t="shared" si="307"/>
        <v>1990</v>
      </c>
      <c r="L107" s="545">
        <f t="shared" si="307"/>
        <v>3158</v>
      </c>
      <c r="M107" s="545">
        <f t="shared" si="307"/>
        <v>3158</v>
      </c>
      <c r="N107" s="545">
        <f t="shared" si="307"/>
        <v>0</v>
      </c>
      <c r="O107" s="559">
        <f t="shared" si="307"/>
        <v>16.100000000000019</v>
      </c>
      <c r="P107" s="560">
        <f t="shared" si="307"/>
        <v>470.2</v>
      </c>
      <c r="Q107" s="545">
        <f t="shared" si="307"/>
        <v>33.4</v>
      </c>
      <c r="R107" s="558">
        <v>20385.669999999998</v>
      </c>
      <c r="S107" s="558"/>
      <c r="T107" s="558">
        <f>SUM(T108:T114)</f>
        <v>117283464.82000001</v>
      </c>
      <c r="U107" s="558">
        <f t="shared" ref="U107:AB107" si="308">U108+U109+U110+U111+U112+U113+U114</f>
        <v>114771420.82000001</v>
      </c>
      <c r="V107" s="558">
        <f t="shared" si="308"/>
        <v>112298420.82000001</v>
      </c>
      <c r="W107" s="558">
        <f t="shared" si="308"/>
        <v>0</v>
      </c>
      <c r="X107" s="558">
        <f t="shared" si="308"/>
        <v>2473000</v>
      </c>
      <c r="Y107" s="545">
        <f t="shared" si="308"/>
        <v>2512044</v>
      </c>
      <c r="Z107" s="545">
        <f t="shared" si="308"/>
        <v>2512044</v>
      </c>
      <c r="AA107" s="545">
        <f t="shared" si="308"/>
        <v>0</v>
      </c>
      <c r="AB107" s="545">
        <f t="shared" si="308"/>
        <v>0</v>
      </c>
      <c r="AC107" s="545">
        <f t="shared" si="307"/>
        <v>117283464.82000001</v>
      </c>
      <c r="AD107" s="545">
        <f t="shared" si="307"/>
        <v>114810464.82000001</v>
      </c>
      <c r="AE107" s="545">
        <f t="shared" si="307"/>
        <v>0</v>
      </c>
      <c r="AF107" s="545">
        <f t="shared" si="307"/>
        <v>2473000</v>
      </c>
      <c r="AG107" s="545">
        <f t="shared" si="307"/>
        <v>149483225.19</v>
      </c>
      <c r="AH107" s="558">
        <v>7747000</v>
      </c>
      <c r="AI107" s="1086">
        <v>155144619.05000001</v>
      </c>
      <c r="AJ107" s="765">
        <f>AH107+AG107</f>
        <v>157230225.19</v>
      </c>
      <c r="AK107" s="876">
        <f>AJ107-AI107</f>
        <v>2085606.1399999857</v>
      </c>
      <c r="AL107" s="563">
        <v>20385.669999999998</v>
      </c>
      <c r="AM107" s="563">
        <f t="shared" si="226"/>
        <v>0</v>
      </c>
      <c r="AN107" s="545">
        <f>AN108+AN109+AN110+AN111+AN112+AN113+AN114</f>
        <v>27.300000000000011</v>
      </c>
      <c r="AO107" s="545">
        <f>AO108+AO109+AO110+AO111+AO112+AO113+AO114</f>
        <v>497.50000000000006</v>
      </c>
      <c r="AP107" s="545">
        <f t="shared" ref="AP107:BC107" si="309">AP108+AP109+AP110+AP111+AP112+AP113+AP114</f>
        <v>35.1</v>
      </c>
      <c r="AQ107" s="561">
        <f>SUM(AQ108:AQ114)</f>
        <v>120383268.06</v>
      </c>
      <c r="AR107" s="545">
        <f t="shared" si="247"/>
        <v>121702449.90000001</v>
      </c>
      <c r="AS107" s="545">
        <f>AS108+AS109+AS110+AS111+AS112+AS113+AS114</f>
        <v>115257549.60000001</v>
      </c>
      <c r="AT107" s="545">
        <f t="shared" si="309"/>
        <v>0</v>
      </c>
      <c r="AU107" s="545">
        <f t="shared" si="309"/>
        <v>2473000</v>
      </c>
      <c r="AV107" s="545">
        <f>ROUND(AM107*AP107*12,2)</f>
        <v>0</v>
      </c>
      <c r="AW107" s="545">
        <f>AW108+AW109+AW110+AW111+AW112+AW113+AW114</f>
        <v>2652718.46</v>
      </c>
      <c r="AX107" s="545">
        <f t="shared" si="309"/>
        <v>0</v>
      </c>
      <c r="AY107" s="545">
        <f t="shared" si="309"/>
        <v>0</v>
      </c>
      <c r="AZ107" s="545">
        <f t="shared" si="309"/>
        <v>0</v>
      </c>
      <c r="BA107" s="730">
        <f>BA108+BA109+BA110+BA111+BA112+BA113+BA114</f>
        <v>2473000</v>
      </c>
      <c r="BB107" s="545">
        <f t="shared" si="309"/>
        <v>117910268.06</v>
      </c>
      <c r="BC107" s="545">
        <f t="shared" si="309"/>
        <v>153519169</v>
      </c>
      <c r="BD107" s="558">
        <v>7847811</v>
      </c>
      <c r="BE107" s="564">
        <f>BD107+BC107</f>
        <v>161366980</v>
      </c>
      <c r="BF107" s="562">
        <v>155144619.05000001</v>
      </c>
      <c r="BG107" s="866">
        <f>BE107-BF107</f>
        <v>6222360.9499999881</v>
      </c>
      <c r="BH107" s="875">
        <f>AG107+AH107</f>
        <v>157230225.19</v>
      </c>
      <c r="BI107" s="876">
        <f>BH107-AI107</f>
        <v>2085606.1399999857</v>
      </c>
    </row>
    <row r="108" spans="1:61">
      <c r="A108" s="11">
        <v>1</v>
      </c>
      <c r="B108" s="13" t="s">
        <v>71</v>
      </c>
      <c r="C108" s="17">
        <v>8</v>
      </c>
      <c r="D108" s="17"/>
      <c r="E108" s="11">
        <v>4316.1000000000004</v>
      </c>
      <c r="F108" s="11"/>
      <c r="G108" s="555">
        <v>44959.38</v>
      </c>
      <c r="H108" s="545">
        <f>I108+J108+K108</f>
        <v>4316.1000000000004</v>
      </c>
      <c r="I108" s="11">
        <f t="shared" ref="I108:I114" si="310">E108-K108-J108</f>
        <v>4235.6000000000004</v>
      </c>
      <c r="J108" s="11"/>
      <c r="K108" s="11">
        <v>80.5</v>
      </c>
      <c r="L108" s="545">
        <f t="shared" ref="L108:L114" si="311">M108+N108</f>
        <v>0</v>
      </c>
      <c r="M108" s="11">
        <f>F108-N108</f>
        <v>0</v>
      </c>
      <c r="N108" s="11"/>
      <c r="O108" s="861">
        <f>P108-C108</f>
        <v>-0.29999999999999982</v>
      </c>
      <c r="P108" s="444">
        <v>7.7</v>
      </c>
      <c r="Q108" s="17"/>
      <c r="R108" s="555">
        <v>44959.38</v>
      </c>
      <c r="S108" s="555"/>
      <c r="T108" s="554">
        <f t="shared" ref="T108:T114" si="312">U108+Y108</f>
        <v>4154246.71</v>
      </c>
      <c r="U108" s="554">
        <f>ROUND(R108*P108*12,2)</f>
        <v>4154246.71</v>
      </c>
      <c r="V108" s="433">
        <f>U108-W108-X108</f>
        <v>3997046.71</v>
      </c>
      <c r="W108" s="433"/>
      <c r="X108" s="433">
        <v>157200</v>
      </c>
      <c r="Y108" s="556">
        <f t="shared" ref="Y108:Y114" si="313">ROUND(S108*Q108*12,2)</f>
        <v>0</v>
      </c>
      <c r="Z108" s="11">
        <f t="shared" ref="Z108:Z114" si="314">Y108-AA108-AB108</f>
        <v>0</v>
      </c>
      <c r="AA108" s="11"/>
      <c r="AB108" s="11"/>
      <c r="AC108" s="554">
        <f t="shared" ref="AC108:AC114" si="315">AD108+AE108+AF108</f>
        <v>4154246.71</v>
      </c>
      <c r="AD108" s="433">
        <f t="shared" ref="AD108:AD114" si="316">ROUND((Z108+V108),2)</f>
        <v>3997046.71</v>
      </c>
      <c r="AE108" s="11">
        <f t="shared" ref="AE108:AF114" si="317">AA108+W108</f>
        <v>0</v>
      </c>
      <c r="AF108" s="11">
        <f t="shared" si="317"/>
        <v>157200</v>
      </c>
      <c r="AG108" s="544">
        <f t="shared" ref="AG108:AG114" si="318">ROUND(AD108*1.302,2)</f>
        <v>5204154.82</v>
      </c>
      <c r="AH108" s="753" t="s">
        <v>703</v>
      </c>
      <c r="AI108" s="1084">
        <v>2259944.7999999998</v>
      </c>
      <c r="AJ108" s="850"/>
      <c r="AK108" s="850"/>
      <c r="AL108" s="557">
        <v>48571.42</v>
      </c>
      <c r="AM108" s="557">
        <f t="shared" si="226"/>
        <v>0</v>
      </c>
      <c r="AN108" s="1233">
        <f>AO108-P108</f>
        <v>-0.70000000000000018</v>
      </c>
      <c r="AO108" s="444">
        <v>7</v>
      </c>
      <c r="AP108" s="17"/>
      <c r="AQ108" s="554">
        <f>AR108+AV108</f>
        <v>4079999.3</v>
      </c>
      <c r="AR108" s="545">
        <f t="shared" si="247"/>
        <v>4079999.3</v>
      </c>
      <c r="AS108" s="11">
        <f t="shared" ref="AS108:AS114" si="319">AR108-AT108-AU108</f>
        <v>3981399.3</v>
      </c>
      <c r="AT108" s="11">
        <f>W108</f>
        <v>0</v>
      </c>
      <c r="AU108" s="11">
        <v>98600</v>
      </c>
      <c r="AV108" s="545">
        <f t="shared" ref="AV108:AV114" si="320">ROUND(AM108*AP108*12,2)</f>
        <v>0</v>
      </c>
      <c r="AW108" s="11">
        <f t="shared" ref="AW108:AW114" si="321">AV108-AX108-AY108</f>
        <v>0</v>
      </c>
      <c r="AX108" s="11">
        <f t="shared" ref="AX108:AY114" si="322">AA108</f>
        <v>0</v>
      </c>
      <c r="AY108" s="11">
        <f t="shared" si="322"/>
        <v>0</v>
      </c>
      <c r="AZ108" s="18">
        <f>AX108+AT108</f>
        <v>0</v>
      </c>
      <c r="BA108" s="18">
        <f t="shared" ref="BA108:BA114" si="323">AY108+AU108</f>
        <v>98600</v>
      </c>
      <c r="BB108" s="19">
        <f>AW108+AS108</f>
        <v>3981399.3</v>
      </c>
      <c r="BC108" s="544">
        <f>ROUND(BB108*1.302,1)</f>
        <v>5183781.9000000004</v>
      </c>
      <c r="BD108" s="547">
        <v>78470000</v>
      </c>
      <c r="BE108" s="11"/>
      <c r="BF108" s="445"/>
      <c r="BG108" s="11"/>
      <c r="BH108" s="11"/>
      <c r="BI108" s="11"/>
    </row>
    <row r="109" spans="1:61">
      <c r="A109" s="11">
        <v>2</v>
      </c>
      <c r="B109" s="13" t="s">
        <v>72</v>
      </c>
      <c r="C109" s="17">
        <v>34.6</v>
      </c>
      <c r="D109" s="17">
        <v>0.2</v>
      </c>
      <c r="E109" s="11">
        <v>14291.2</v>
      </c>
      <c r="F109" s="11">
        <v>64.8</v>
      </c>
      <c r="G109" s="555">
        <v>34420.04</v>
      </c>
      <c r="H109" s="545">
        <f t="shared" ref="H109:H114" si="324">I109+J109+K109</f>
        <v>14291.2</v>
      </c>
      <c r="I109" s="11">
        <f t="shared" si="310"/>
        <v>14091.900000000001</v>
      </c>
      <c r="J109" s="11"/>
      <c r="K109" s="11">
        <v>199.3</v>
      </c>
      <c r="L109" s="545">
        <f t="shared" si="311"/>
        <v>64.8</v>
      </c>
      <c r="M109" s="11">
        <f t="shared" ref="M109:M114" si="325">F109-N109</f>
        <v>64.8</v>
      </c>
      <c r="N109" s="11"/>
      <c r="O109" s="861">
        <f t="shared" ref="O109:O114" si="326">P109-C109</f>
        <v>-0.39999999999999858</v>
      </c>
      <c r="P109" s="444">
        <v>34.200000000000003</v>
      </c>
      <c r="Q109" s="17"/>
      <c r="R109" s="555">
        <v>34420.04</v>
      </c>
      <c r="S109" s="555"/>
      <c r="T109" s="554">
        <f t="shared" si="312"/>
        <v>14125984.42</v>
      </c>
      <c r="U109" s="554">
        <f t="shared" ref="U109:U114" si="327">ROUND(R109*P109*12,2)</f>
        <v>14125984.42</v>
      </c>
      <c r="V109" s="433">
        <f t="shared" ref="V109:V114" si="328">U109-W109-X109</f>
        <v>13878784.42</v>
      </c>
      <c r="W109" s="433"/>
      <c r="X109" s="433">
        <v>247200</v>
      </c>
      <c r="Y109" s="556">
        <f t="shared" si="313"/>
        <v>0</v>
      </c>
      <c r="Z109" s="11">
        <f t="shared" si="314"/>
        <v>0</v>
      </c>
      <c r="AA109" s="11"/>
      <c r="AB109" s="11"/>
      <c r="AC109" s="554">
        <f t="shared" si="315"/>
        <v>14125984.42</v>
      </c>
      <c r="AD109" s="433">
        <f t="shared" si="316"/>
        <v>13878784.42</v>
      </c>
      <c r="AE109" s="11">
        <f t="shared" si="317"/>
        <v>0</v>
      </c>
      <c r="AF109" s="11">
        <f t="shared" si="317"/>
        <v>247200</v>
      </c>
      <c r="AG109" s="544">
        <f t="shared" si="318"/>
        <v>18070177.309999999</v>
      </c>
      <c r="AH109" s="753" t="s">
        <v>704</v>
      </c>
      <c r="AI109" s="1093">
        <f>AI107-AI108</f>
        <v>152884674.25</v>
      </c>
      <c r="AJ109" s="1096"/>
      <c r="AK109" s="1096"/>
      <c r="AL109" s="557">
        <v>34029.279999999999</v>
      </c>
      <c r="AM109" s="557">
        <v>0</v>
      </c>
      <c r="AN109" s="1233">
        <f>AO109-P109</f>
        <v>-0.10000000000000142</v>
      </c>
      <c r="AO109" s="444">
        <v>34.1</v>
      </c>
      <c r="AP109" s="17"/>
      <c r="AQ109" s="554">
        <f t="shared" ref="AQ109:AQ114" si="329">AR109+AV109</f>
        <v>13924781.4</v>
      </c>
      <c r="AR109" s="545">
        <f t="shared" si="247"/>
        <v>13924781.4</v>
      </c>
      <c r="AS109" s="11">
        <f t="shared" si="319"/>
        <v>13678581.4</v>
      </c>
      <c r="AT109" s="11">
        <f t="shared" ref="AT109:AU114" si="330">W109</f>
        <v>0</v>
      </c>
      <c r="AU109" s="11">
        <v>246200</v>
      </c>
      <c r="AV109" s="545">
        <f t="shared" si="320"/>
        <v>0</v>
      </c>
      <c r="AW109" s="11">
        <f t="shared" si="321"/>
        <v>0</v>
      </c>
      <c r="AX109" s="11">
        <f t="shared" si="322"/>
        <v>0</v>
      </c>
      <c r="AY109" s="11">
        <f t="shared" si="322"/>
        <v>0</v>
      </c>
      <c r="AZ109" s="18">
        <f t="shared" ref="AZ109:AZ114" si="331">AX109+AT109</f>
        <v>0</v>
      </c>
      <c r="BA109" s="18">
        <f t="shared" si="323"/>
        <v>246200</v>
      </c>
      <c r="BB109" s="19">
        <f t="shared" ref="BB109:BB114" si="332">AW109+AS109</f>
        <v>13678581.4</v>
      </c>
      <c r="BC109" s="544">
        <f t="shared" ref="BC109:BC114" si="333">ROUND(BB109*1.302,1)</f>
        <v>17809513</v>
      </c>
      <c r="BD109" s="544"/>
      <c r="BE109" s="11"/>
      <c r="BF109" s="445"/>
      <c r="BG109" s="11"/>
      <c r="BH109" s="11"/>
      <c r="BI109" s="11"/>
    </row>
    <row r="110" spans="1:61">
      <c r="A110" s="11">
        <v>3</v>
      </c>
      <c r="B110" s="14" t="s">
        <v>76</v>
      </c>
      <c r="C110" s="17">
        <v>243.6</v>
      </c>
      <c r="D110" s="17">
        <v>7.2</v>
      </c>
      <c r="E110" s="11">
        <v>68760.600000000006</v>
      </c>
      <c r="F110" s="11">
        <v>882.6</v>
      </c>
      <c r="G110" s="29">
        <v>23522.37</v>
      </c>
      <c r="H110" s="545">
        <f t="shared" si="324"/>
        <v>68760.600000000006</v>
      </c>
      <c r="I110" s="11">
        <f t="shared" si="310"/>
        <v>67137.700000000012</v>
      </c>
      <c r="J110" s="11"/>
      <c r="K110" s="11">
        <v>1622.9</v>
      </c>
      <c r="L110" s="545">
        <f t="shared" si="311"/>
        <v>882.6</v>
      </c>
      <c r="M110" s="11">
        <f t="shared" si="325"/>
        <v>882.6</v>
      </c>
      <c r="N110" s="11"/>
      <c r="O110" s="861">
        <f t="shared" si="326"/>
        <v>3.4000000000000057</v>
      </c>
      <c r="P110" s="444">
        <v>247</v>
      </c>
      <c r="Q110" s="17">
        <v>8.4</v>
      </c>
      <c r="R110" s="29">
        <v>23522.37</v>
      </c>
      <c r="S110" s="555"/>
      <c r="T110" s="554">
        <f t="shared" si="312"/>
        <v>69720304.680000007</v>
      </c>
      <c r="U110" s="554">
        <f t="shared" si="327"/>
        <v>69720304.680000007</v>
      </c>
      <c r="V110" s="433">
        <f t="shared" si="328"/>
        <v>67977004.680000007</v>
      </c>
      <c r="W110" s="433"/>
      <c r="X110" s="433">
        <v>1743300</v>
      </c>
      <c r="Y110" s="556">
        <f t="shared" si="313"/>
        <v>0</v>
      </c>
      <c r="Z110" s="11">
        <f t="shared" si="314"/>
        <v>0</v>
      </c>
      <c r="AA110" s="11"/>
      <c r="AB110" s="11"/>
      <c r="AC110" s="554">
        <f t="shared" si="315"/>
        <v>69720304.680000007</v>
      </c>
      <c r="AD110" s="433">
        <f t="shared" si="316"/>
        <v>67977004.680000007</v>
      </c>
      <c r="AE110" s="11">
        <f t="shared" si="317"/>
        <v>0</v>
      </c>
      <c r="AF110" s="11">
        <f t="shared" si="317"/>
        <v>1743300</v>
      </c>
      <c r="AG110" s="544">
        <f t="shared" si="318"/>
        <v>88506060.090000004</v>
      </c>
      <c r="AH110" s="11"/>
      <c r="AI110" s="1084"/>
      <c r="AJ110" s="850"/>
      <c r="AK110" s="850"/>
      <c r="AL110" s="440">
        <v>23311.759999999998</v>
      </c>
      <c r="AM110" s="557">
        <f t="shared" si="226"/>
        <v>0</v>
      </c>
      <c r="AN110" s="1233">
        <f>AO110-P110</f>
        <v>0.5</v>
      </c>
      <c r="AO110" s="444">
        <v>247.5</v>
      </c>
      <c r="AP110" s="17">
        <v>8.4</v>
      </c>
      <c r="AQ110" s="554">
        <f t="shared" si="329"/>
        <v>69235927.200000003</v>
      </c>
      <c r="AR110" s="545">
        <f t="shared" si="247"/>
        <v>69235927.200000003</v>
      </c>
      <c r="AS110" s="11">
        <f t="shared" si="319"/>
        <v>67483627.200000003</v>
      </c>
      <c r="AT110" s="11">
        <f t="shared" si="330"/>
        <v>0</v>
      </c>
      <c r="AU110" s="732">
        <v>1752300</v>
      </c>
      <c r="AV110" s="545">
        <f t="shared" si="320"/>
        <v>0</v>
      </c>
      <c r="AW110" s="11">
        <f t="shared" si="321"/>
        <v>0</v>
      </c>
      <c r="AX110" s="11">
        <f t="shared" si="322"/>
        <v>0</v>
      </c>
      <c r="AY110" s="11">
        <f t="shared" si="322"/>
        <v>0</v>
      </c>
      <c r="AZ110" s="18">
        <f t="shared" si="331"/>
        <v>0</v>
      </c>
      <c r="BA110" s="733">
        <f t="shared" si="323"/>
        <v>1752300</v>
      </c>
      <c r="BB110" s="19">
        <f t="shared" si="332"/>
        <v>67483627.200000003</v>
      </c>
      <c r="BC110" s="544">
        <f t="shared" si="333"/>
        <v>87863682.599999994</v>
      </c>
      <c r="BD110" s="544"/>
      <c r="BE110" s="11"/>
      <c r="BF110" s="445"/>
      <c r="BG110" s="11"/>
      <c r="BH110" s="11"/>
      <c r="BI110" s="11"/>
    </row>
    <row r="111" spans="1:61">
      <c r="A111" s="11">
        <v>4</v>
      </c>
      <c r="B111" s="14" t="s">
        <v>77</v>
      </c>
      <c r="C111" s="17">
        <v>5.7</v>
      </c>
      <c r="D111" s="17"/>
      <c r="E111" s="11">
        <v>1261</v>
      </c>
      <c r="F111" s="11"/>
      <c r="G111" s="432">
        <v>18435.669999999998</v>
      </c>
      <c r="H111" s="545">
        <f t="shared" si="324"/>
        <v>1261</v>
      </c>
      <c r="I111" s="11">
        <f t="shared" si="310"/>
        <v>1204</v>
      </c>
      <c r="J111" s="11"/>
      <c r="K111" s="11">
        <v>57</v>
      </c>
      <c r="L111" s="545">
        <f t="shared" si="311"/>
        <v>0</v>
      </c>
      <c r="M111" s="11">
        <f t="shared" si="325"/>
        <v>0</v>
      </c>
      <c r="N111" s="11"/>
      <c r="O111" s="861">
        <f t="shared" si="326"/>
        <v>4.1000000000000005</v>
      </c>
      <c r="P111" s="444">
        <v>9.8000000000000007</v>
      </c>
      <c r="Q111" s="17"/>
      <c r="R111" s="432">
        <v>22347.23</v>
      </c>
      <c r="S111" s="555"/>
      <c r="T111" s="554">
        <f t="shared" si="312"/>
        <v>2628034.25</v>
      </c>
      <c r="U111" s="554">
        <f t="shared" si="327"/>
        <v>2628034.25</v>
      </c>
      <c r="V111" s="433">
        <f t="shared" si="328"/>
        <v>2355334.25</v>
      </c>
      <c r="W111" s="433"/>
      <c r="X111" s="433">
        <v>272700</v>
      </c>
      <c r="Y111" s="556">
        <f t="shared" si="313"/>
        <v>0</v>
      </c>
      <c r="Z111" s="11">
        <f t="shared" si="314"/>
        <v>0</v>
      </c>
      <c r="AA111" s="11"/>
      <c r="AB111" s="11"/>
      <c r="AC111" s="554">
        <f t="shared" si="315"/>
        <v>2628034.25</v>
      </c>
      <c r="AD111" s="433">
        <f t="shared" si="316"/>
        <v>2355334.25</v>
      </c>
      <c r="AE111" s="11">
        <f t="shared" si="317"/>
        <v>0</v>
      </c>
      <c r="AF111" s="11">
        <f t="shared" si="317"/>
        <v>272700</v>
      </c>
      <c r="AG111" s="544">
        <f t="shared" si="318"/>
        <v>3066645.19</v>
      </c>
      <c r="AH111" s="11"/>
      <c r="AI111" s="1084"/>
      <c r="AJ111" s="850"/>
      <c r="AK111" s="850"/>
      <c r="AL111" s="441">
        <v>21434.639999999999</v>
      </c>
      <c r="AM111" s="557">
        <f t="shared" si="226"/>
        <v>0</v>
      </c>
      <c r="AN111" s="1233">
        <f>AO111-P111</f>
        <v>7.8000000000000007</v>
      </c>
      <c r="AO111" s="444">
        <v>17.600000000000001</v>
      </c>
      <c r="AP111" s="17">
        <v>0.3</v>
      </c>
      <c r="AQ111" s="554">
        <f t="shared" si="329"/>
        <v>4526996</v>
      </c>
      <c r="AR111" s="545">
        <f t="shared" si="247"/>
        <v>4526996</v>
      </c>
      <c r="AS111" s="11">
        <f t="shared" si="319"/>
        <v>4203696</v>
      </c>
      <c r="AT111" s="11">
        <f t="shared" si="330"/>
        <v>0</v>
      </c>
      <c r="AU111" s="11">
        <v>323300</v>
      </c>
      <c r="AV111" s="545">
        <f t="shared" si="320"/>
        <v>0</v>
      </c>
      <c r="AW111" s="11">
        <f t="shared" si="321"/>
        <v>0</v>
      </c>
      <c r="AX111" s="11">
        <f t="shared" si="322"/>
        <v>0</v>
      </c>
      <c r="AY111" s="11">
        <f t="shared" si="322"/>
        <v>0</v>
      </c>
      <c r="AZ111" s="18">
        <f t="shared" si="331"/>
        <v>0</v>
      </c>
      <c r="BA111" s="18">
        <f t="shared" si="323"/>
        <v>323300</v>
      </c>
      <c r="BB111" s="19">
        <f t="shared" si="332"/>
        <v>4203696</v>
      </c>
      <c r="BC111" s="544">
        <f t="shared" si="333"/>
        <v>5473212.2000000002</v>
      </c>
      <c r="BD111" s="544"/>
      <c r="BE111" s="11"/>
      <c r="BF111" s="445"/>
      <c r="BG111" s="11"/>
      <c r="BH111" s="11"/>
      <c r="BI111" s="11"/>
    </row>
    <row r="112" spans="1:61">
      <c r="A112" s="11">
        <v>5</v>
      </c>
      <c r="B112" s="13" t="s">
        <v>73</v>
      </c>
      <c r="C112" s="17"/>
      <c r="D112" s="17"/>
      <c r="E112" s="11"/>
      <c r="F112" s="11"/>
      <c r="G112" s="555"/>
      <c r="H112" s="545">
        <f t="shared" si="324"/>
        <v>0</v>
      </c>
      <c r="I112" s="11">
        <f t="shared" si="310"/>
        <v>0</v>
      </c>
      <c r="J112" s="11"/>
      <c r="K112" s="11"/>
      <c r="L112" s="545">
        <f t="shared" si="311"/>
        <v>0</v>
      </c>
      <c r="M112" s="11">
        <f t="shared" si="325"/>
        <v>0</v>
      </c>
      <c r="N112" s="11"/>
      <c r="O112" s="861">
        <f t="shared" si="326"/>
        <v>0</v>
      </c>
      <c r="P112" s="444"/>
      <c r="Q112" s="17"/>
      <c r="R112" s="555"/>
      <c r="S112" s="555"/>
      <c r="T112" s="554">
        <f t="shared" si="312"/>
        <v>0</v>
      </c>
      <c r="U112" s="554">
        <f t="shared" si="327"/>
        <v>0</v>
      </c>
      <c r="V112" s="433">
        <f t="shared" si="328"/>
        <v>0</v>
      </c>
      <c r="W112" s="433"/>
      <c r="X112" s="433"/>
      <c r="Y112" s="556">
        <f t="shared" si="313"/>
        <v>0</v>
      </c>
      <c r="Z112" s="11">
        <f t="shared" si="314"/>
        <v>0</v>
      </c>
      <c r="AA112" s="11"/>
      <c r="AB112" s="11"/>
      <c r="AC112" s="554">
        <f t="shared" si="315"/>
        <v>0</v>
      </c>
      <c r="AD112" s="433">
        <f t="shared" si="316"/>
        <v>0</v>
      </c>
      <c r="AE112" s="11">
        <f t="shared" si="317"/>
        <v>0</v>
      </c>
      <c r="AF112" s="11">
        <f t="shared" si="317"/>
        <v>0</v>
      </c>
      <c r="AG112" s="544">
        <f t="shared" si="318"/>
        <v>0</v>
      </c>
      <c r="AH112" s="11"/>
      <c r="AI112" s="1084"/>
      <c r="AJ112" s="850"/>
      <c r="AK112" s="850"/>
      <c r="AL112" s="557"/>
      <c r="AM112" s="557">
        <f t="shared" si="226"/>
        <v>0</v>
      </c>
      <c r="AN112" s="1233"/>
      <c r="AO112" s="444"/>
      <c r="AP112" s="17"/>
      <c r="AQ112" s="554">
        <f t="shared" si="329"/>
        <v>0</v>
      </c>
      <c r="AR112" s="545">
        <f t="shared" si="247"/>
        <v>0</v>
      </c>
      <c r="AS112" s="11">
        <f t="shared" si="319"/>
        <v>0</v>
      </c>
      <c r="AT112" s="11">
        <f t="shared" si="330"/>
        <v>0</v>
      </c>
      <c r="AU112" s="11">
        <f t="shared" si="330"/>
        <v>0</v>
      </c>
      <c r="AV112" s="545">
        <f t="shared" si="320"/>
        <v>0</v>
      </c>
      <c r="AW112" s="11">
        <f t="shared" si="321"/>
        <v>0</v>
      </c>
      <c r="AX112" s="11">
        <f t="shared" si="322"/>
        <v>0</v>
      </c>
      <c r="AY112" s="11">
        <f t="shared" si="322"/>
        <v>0</v>
      </c>
      <c r="AZ112" s="18">
        <f t="shared" si="331"/>
        <v>0</v>
      </c>
      <c r="BA112" s="18">
        <f t="shared" si="323"/>
        <v>0</v>
      </c>
      <c r="BB112" s="19">
        <f t="shared" si="332"/>
        <v>0</v>
      </c>
      <c r="BC112" s="544">
        <f t="shared" si="333"/>
        <v>0</v>
      </c>
      <c r="BD112" s="544"/>
      <c r="BE112" s="11"/>
      <c r="BF112" s="445"/>
      <c r="BG112" s="11"/>
      <c r="BH112" s="11"/>
      <c r="BI112" s="11"/>
    </row>
    <row r="113" spans="1:61">
      <c r="A113" s="11">
        <v>6</v>
      </c>
      <c r="B113" s="13" t="s">
        <v>74</v>
      </c>
      <c r="C113" s="17"/>
      <c r="D113" s="17"/>
      <c r="E113" s="11"/>
      <c r="F113" s="11"/>
      <c r="G113" s="555"/>
      <c r="H113" s="545">
        <f t="shared" si="324"/>
        <v>0</v>
      </c>
      <c r="I113" s="11">
        <f t="shared" si="310"/>
        <v>0</v>
      </c>
      <c r="J113" s="11"/>
      <c r="K113" s="11"/>
      <c r="L113" s="545">
        <f t="shared" si="311"/>
        <v>0</v>
      </c>
      <c r="M113" s="11">
        <f t="shared" si="325"/>
        <v>0</v>
      </c>
      <c r="N113" s="11"/>
      <c r="O113" s="861">
        <f t="shared" si="326"/>
        <v>0</v>
      </c>
      <c r="P113" s="444"/>
      <c r="Q113" s="17"/>
      <c r="R113" s="555"/>
      <c r="S113" s="555"/>
      <c r="T113" s="554">
        <f t="shared" si="312"/>
        <v>0</v>
      </c>
      <c r="U113" s="554">
        <f t="shared" si="327"/>
        <v>0</v>
      </c>
      <c r="V113" s="433">
        <f t="shared" si="328"/>
        <v>0</v>
      </c>
      <c r="W113" s="433"/>
      <c r="X113" s="433"/>
      <c r="Y113" s="556">
        <f t="shared" si="313"/>
        <v>0</v>
      </c>
      <c r="Z113" s="11">
        <f t="shared" si="314"/>
        <v>0</v>
      </c>
      <c r="AA113" s="11"/>
      <c r="AB113" s="11"/>
      <c r="AC113" s="554">
        <f t="shared" si="315"/>
        <v>0</v>
      </c>
      <c r="AD113" s="433">
        <f t="shared" si="316"/>
        <v>0</v>
      </c>
      <c r="AE113" s="11">
        <f t="shared" si="317"/>
        <v>0</v>
      </c>
      <c r="AF113" s="11">
        <f t="shared" si="317"/>
        <v>0</v>
      </c>
      <c r="AG113" s="544">
        <f t="shared" si="318"/>
        <v>0</v>
      </c>
      <c r="AH113" s="11"/>
      <c r="AI113" s="1084"/>
      <c r="AJ113" s="850"/>
      <c r="AK113" s="850"/>
      <c r="AL113" s="557"/>
      <c r="AM113" s="557">
        <f t="shared" si="226"/>
        <v>0</v>
      </c>
      <c r="AN113" s="1233"/>
      <c r="AO113" s="444"/>
      <c r="AP113" s="17"/>
      <c r="AQ113" s="554">
        <f t="shared" si="329"/>
        <v>0</v>
      </c>
      <c r="AR113" s="545">
        <f t="shared" si="247"/>
        <v>0</v>
      </c>
      <c r="AS113" s="11">
        <f t="shared" si="319"/>
        <v>0</v>
      </c>
      <c r="AT113" s="11">
        <f t="shared" si="330"/>
        <v>0</v>
      </c>
      <c r="AU113" s="11">
        <f t="shared" si="330"/>
        <v>0</v>
      </c>
      <c r="AV113" s="545">
        <f t="shared" si="320"/>
        <v>0</v>
      </c>
      <c r="AW113" s="11">
        <f t="shared" si="321"/>
        <v>0</v>
      </c>
      <c r="AX113" s="11">
        <f t="shared" si="322"/>
        <v>0</v>
      </c>
      <c r="AY113" s="11">
        <f t="shared" si="322"/>
        <v>0</v>
      </c>
      <c r="AZ113" s="18">
        <f t="shared" si="331"/>
        <v>0</v>
      </c>
      <c r="BA113" s="18">
        <f t="shared" si="323"/>
        <v>0</v>
      </c>
      <c r="BB113" s="19">
        <f t="shared" si="332"/>
        <v>0</v>
      </c>
      <c r="BC113" s="544">
        <f t="shared" si="333"/>
        <v>0</v>
      </c>
      <c r="BD113" s="544"/>
      <c r="BE113" s="11"/>
      <c r="BF113" s="445"/>
      <c r="BG113" s="11"/>
      <c r="BH113" s="11"/>
      <c r="BI113" s="11"/>
    </row>
    <row r="114" spans="1:61">
      <c r="A114" s="11">
        <v>7</v>
      </c>
      <c r="B114" s="1131" t="s">
        <v>814</v>
      </c>
      <c r="C114" s="17">
        <v>162.19999999999999</v>
      </c>
      <c r="D114" s="17">
        <v>22</v>
      </c>
      <c r="E114" s="11">
        <v>22456.7</v>
      </c>
      <c r="F114" s="11">
        <v>2210.6</v>
      </c>
      <c r="G114" s="555">
        <v>11537.56</v>
      </c>
      <c r="H114" s="545">
        <f t="shared" si="324"/>
        <v>22456.7</v>
      </c>
      <c r="I114" s="11">
        <f t="shared" si="310"/>
        <v>22426.400000000001</v>
      </c>
      <c r="J114" s="11"/>
      <c r="K114" s="11">
        <v>30.3</v>
      </c>
      <c r="L114" s="545">
        <f t="shared" si="311"/>
        <v>2210.6</v>
      </c>
      <c r="M114" s="11">
        <f t="shared" si="325"/>
        <v>2210.6</v>
      </c>
      <c r="N114" s="11"/>
      <c r="O114" s="861">
        <f t="shared" si="326"/>
        <v>9.3000000000000114</v>
      </c>
      <c r="P114" s="444">
        <v>171.5</v>
      </c>
      <c r="Q114" s="17">
        <v>25</v>
      </c>
      <c r="R114" s="555">
        <v>11731.22</v>
      </c>
      <c r="S114" s="555">
        <v>8373.48</v>
      </c>
      <c r="T114" s="554">
        <f t="shared" si="312"/>
        <v>26654894.760000002</v>
      </c>
      <c r="U114" s="554">
        <f t="shared" si="327"/>
        <v>24142850.760000002</v>
      </c>
      <c r="V114" s="433">
        <f t="shared" si="328"/>
        <v>24090250.760000002</v>
      </c>
      <c r="W114" s="433"/>
      <c r="X114" s="433">
        <v>52600</v>
      </c>
      <c r="Y114" s="556">
        <f t="shared" si="313"/>
        <v>2512044</v>
      </c>
      <c r="Z114" s="11">
        <f t="shared" si="314"/>
        <v>2512044</v>
      </c>
      <c r="AA114" s="11"/>
      <c r="AB114" s="11"/>
      <c r="AC114" s="554">
        <f t="shared" si="315"/>
        <v>26654894.760000002</v>
      </c>
      <c r="AD114" s="433">
        <f t="shared" si="316"/>
        <v>26602294.760000002</v>
      </c>
      <c r="AE114" s="11">
        <f t="shared" si="317"/>
        <v>0</v>
      </c>
      <c r="AF114" s="11">
        <f t="shared" si="317"/>
        <v>52600</v>
      </c>
      <c r="AG114" s="544">
        <f t="shared" si="318"/>
        <v>34636187.780000001</v>
      </c>
      <c r="AH114" s="11"/>
      <c r="AI114" s="1084"/>
      <c r="AJ114" s="850"/>
      <c r="AK114" s="850"/>
      <c r="AL114" s="557">
        <v>11309.83</v>
      </c>
      <c r="AM114" s="557">
        <f t="shared" si="226"/>
        <v>8373.48</v>
      </c>
      <c r="AN114" s="1233">
        <f>AO114-P114</f>
        <v>19.800000000000011</v>
      </c>
      <c r="AO114" s="444">
        <v>191.3</v>
      </c>
      <c r="AP114" s="17">
        <v>26.4</v>
      </c>
      <c r="AQ114" s="554">
        <f t="shared" si="329"/>
        <v>28615564.16</v>
      </c>
      <c r="AR114" s="545">
        <f t="shared" si="247"/>
        <v>25962845.699999999</v>
      </c>
      <c r="AS114" s="11">
        <f t="shared" si="319"/>
        <v>25910245.699999999</v>
      </c>
      <c r="AT114" s="11">
        <f t="shared" si="330"/>
        <v>0</v>
      </c>
      <c r="AU114" s="11">
        <f t="shared" si="330"/>
        <v>52600</v>
      </c>
      <c r="AV114" s="545">
        <f t="shared" si="320"/>
        <v>2652718.46</v>
      </c>
      <c r="AW114" s="11">
        <f t="shared" si="321"/>
        <v>2652718.46</v>
      </c>
      <c r="AX114" s="11">
        <f t="shared" si="322"/>
        <v>0</v>
      </c>
      <c r="AY114" s="11">
        <f t="shared" si="322"/>
        <v>0</v>
      </c>
      <c r="AZ114" s="18">
        <f t="shared" si="331"/>
        <v>0</v>
      </c>
      <c r="BA114" s="18">
        <f t="shared" si="323"/>
        <v>52600</v>
      </c>
      <c r="BB114" s="19">
        <f t="shared" si="332"/>
        <v>28562964.16</v>
      </c>
      <c r="BC114" s="544">
        <f t="shared" si="333"/>
        <v>37188979.299999997</v>
      </c>
      <c r="BD114" s="544"/>
      <c r="BE114" s="11"/>
      <c r="BF114" s="445"/>
      <c r="BG114" s="11"/>
      <c r="BH114" s="11"/>
      <c r="BI114" s="11"/>
    </row>
    <row r="115" spans="1:61">
      <c r="A115" s="11"/>
      <c r="B115" s="1132" t="s">
        <v>815</v>
      </c>
      <c r="C115" s="17"/>
      <c r="D115" s="17"/>
      <c r="E115" s="11"/>
      <c r="F115" s="11"/>
      <c r="G115" s="555"/>
      <c r="H115" s="545"/>
      <c r="I115" s="11"/>
      <c r="J115" s="11"/>
      <c r="K115" s="11"/>
      <c r="L115" s="545"/>
      <c r="M115" s="11"/>
      <c r="N115" s="11"/>
      <c r="O115" s="861"/>
      <c r="P115" s="17">
        <v>137</v>
      </c>
      <c r="Q115" s="17">
        <v>22</v>
      </c>
      <c r="R115" s="555">
        <v>7285.95</v>
      </c>
      <c r="S115" s="555">
        <v>7323.29</v>
      </c>
      <c r="T115" s="554"/>
      <c r="U115" s="554"/>
      <c r="V115" s="433"/>
      <c r="W115" s="433"/>
      <c r="X115" s="433"/>
      <c r="Y115" s="556"/>
      <c r="Z115" s="11"/>
      <c r="AA115" s="11"/>
      <c r="AB115" s="11"/>
      <c r="AC115" s="554"/>
      <c r="AD115" s="433"/>
      <c r="AE115" s="11"/>
      <c r="AF115" s="11"/>
      <c r="AG115" s="544"/>
      <c r="AH115" s="11"/>
      <c r="AI115" s="1084"/>
      <c r="AJ115" s="850"/>
      <c r="AK115" s="850"/>
      <c r="AL115" s="557"/>
      <c r="AM115" s="557"/>
      <c r="AN115" s="1233">
        <f>AO115-P115</f>
        <v>-137</v>
      </c>
      <c r="AO115" s="1133"/>
      <c r="AP115" s="17"/>
      <c r="AQ115" s="554"/>
      <c r="AR115" s="545"/>
      <c r="AS115" s="11"/>
      <c r="AT115" s="11"/>
      <c r="AU115" s="11"/>
      <c r="AV115" s="545"/>
      <c r="AW115" s="11"/>
      <c r="AX115" s="11"/>
      <c r="AY115" s="11"/>
      <c r="AZ115" s="18"/>
      <c r="BA115" s="18"/>
      <c r="BB115" s="19"/>
      <c r="BC115" s="544"/>
      <c r="BD115" s="544"/>
      <c r="BE115" s="1045"/>
      <c r="BF115" s="445"/>
      <c r="BG115" s="1045"/>
      <c r="BH115" s="1130"/>
      <c r="BI115" s="11"/>
    </row>
    <row r="116" spans="1:61" ht="19.149999999999999" customHeight="1">
      <c r="A116" s="545">
        <v>12</v>
      </c>
      <c r="B116" s="426" t="s">
        <v>99</v>
      </c>
      <c r="C116" s="545">
        <f>C117+C118+C119+C120+C121+C122+C123</f>
        <v>183.4</v>
      </c>
      <c r="D116" s="545">
        <f>D117+D118+D119+D120+D121+D122+D123</f>
        <v>1</v>
      </c>
      <c r="E116" s="545">
        <f>SUM(E117:E123)</f>
        <v>41107.800000000003</v>
      </c>
      <c r="F116" s="545">
        <f t="shared" ref="F116:AG116" si="334">F117+F118+F119+F120+F121+F122+F123</f>
        <v>162.4</v>
      </c>
      <c r="G116" s="558">
        <v>18678.57</v>
      </c>
      <c r="H116" s="545">
        <f t="shared" si="334"/>
        <v>41107.800000000003</v>
      </c>
      <c r="I116" s="545">
        <f t="shared" si="334"/>
        <v>39191.599999999999</v>
      </c>
      <c r="J116" s="545">
        <f t="shared" si="334"/>
        <v>0</v>
      </c>
      <c r="K116" s="545">
        <f t="shared" si="334"/>
        <v>1916.2</v>
      </c>
      <c r="L116" s="545">
        <f t="shared" si="334"/>
        <v>162.4</v>
      </c>
      <c r="M116" s="545">
        <f t="shared" si="334"/>
        <v>162.4</v>
      </c>
      <c r="N116" s="545">
        <f t="shared" si="334"/>
        <v>0</v>
      </c>
      <c r="O116" s="559">
        <f t="shared" si="334"/>
        <v>-0.40000000000000258</v>
      </c>
      <c r="P116" s="560">
        <f t="shared" si="334"/>
        <v>183</v>
      </c>
      <c r="Q116" s="545">
        <f t="shared" si="334"/>
        <v>8.6999999999999993</v>
      </c>
      <c r="R116" s="558">
        <v>18678.57</v>
      </c>
      <c r="S116" s="558"/>
      <c r="T116" s="558">
        <f>SUM(T117:T123)</f>
        <v>42098359.619999997</v>
      </c>
      <c r="U116" s="558">
        <f t="shared" ref="U116:AB116" si="335">U117+U118+U119+U120+U121+U122+U123</f>
        <v>41244699.960000001</v>
      </c>
      <c r="V116" s="558">
        <f t="shared" si="335"/>
        <v>39237499.960000001</v>
      </c>
      <c r="W116" s="558">
        <f t="shared" si="335"/>
        <v>0</v>
      </c>
      <c r="X116" s="558">
        <f t="shared" si="335"/>
        <v>2007200</v>
      </c>
      <c r="Y116" s="545">
        <f t="shared" si="335"/>
        <v>853659.66</v>
      </c>
      <c r="Z116" s="545">
        <f t="shared" si="335"/>
        <v>853659.66</v>
      </c>
      <c r="AA116" s="545">
        <f t="shared" si="335"/>
        <v>0</v>
      </c>
      <c r="AB116" s="545">
        <f t="shared" si="335"/>
        <v>0</v>
      </c>
      <c r="AC116" s="545">
        <f t="shared" si="334"/>
        <v>42098359.619999997</v>
      </c>
      <c r="AD116" s="545">
        <f t="shared" si="334"/>
        <v>40091159.619999997</v>
      </c>
      <c r="AE116" s="545">
        <f t="shared" si="334"/>
        <v>0</v>
      </c>
      <c r="AF116" s="545">
        <f t="shared" si="334"/>
        <v>2007200</v>
      </c>
      <c r="AG116" s="545">
        <f t="shared" si="334"/>
        <v>52198689.829999998</v>
      </c>
      <c r="AH116" s="878">
        <f>4927904.64-3127904.64</f>
        <v>1799999.9999999995</v>
      </c>
      <c r="AI116" s="1086">
        <v>57126594.469999999</v>
      </c>
      <c r="AJ116" s="765">
        <f>AH116+AG116</f>
        <v>53998689.829999998</v>
      </c>
      <c r="AK116" s="876">
        <f>AJ116-AI116</f>
        <v>-3127904.6400000006</v>
      </c>
      <c r="AL116" s="563">
        <v>18678.57</v>
      </c>
      <c r="AM116" s="563">
        <f t="shared" si="226"/>
        <v>0</v>
      </c>
      <c r="AN116" s="545">
        <f>AN117+AN118+AN119+AN120+AN121+AN122+AN123</f>
        <v>8</v>
      </c>
      <c r="AO116" s="545">
        <f>AO117+AO118+AO119+AO120+AO121+AO122+AO123</f>
        <v>191</v>
      </c>
      <c r="AP116" s="545">
        <f t="shared" ref="AP116:BC116" si="336">AP117+AP118+AP119+AP120+AP121+AP122+AP123</f>
        <v>0</v>
      </c>
      <c r="AQ116" s="734">
        <f>SUM(AQ117:AQ123)</f>
        <v>42610017.799999997</v>
      </c>
      <c r="AR116" s="545">
        <f>ROUND((AL116*AO116*12),1)</f>
        <v>42811282.399999999</v>
      </c>
      <c r="AS116" s="545">
        <f t="shared" si="336"/>
        <v>40620917.799999997</v>
      </c>
      <c r="AT116" s="545">
        <f t="shared" si="336"/>
        <v>0</v>
      </c>
      <c r="AU116" s="545">
        <f t="shared" si="336"/>
        <v>1989100</v>
      </c>
      <c r="AV116" s="545">
        <f t="shared" si="336"/>
        <v>0</v>
      </c>
      <c r="AW116" s="734">
        <f t="shared" si="336"/>
        <v>0</v>
      </c>
      <c r="AX116" s="545">
        <f t="shared" si="336"/>
        <v>0</v>
      </c>
      <c r="AY116" s="545">
        <f t="shared" si="336"/>
        <v>0</v>
      </c>
      <c r="AZ116" s="545">
        <f t="shared" si="336"/>
        <v>0</v>
      </c>
      <c r="BA116" s="545">
        <f t="shared" si="336"/>
        <v>1989100</v>
      </c>
      <c r="BB116" s="545">
        <f t="shared" si="336"/>
        <v>40620917.799999997</v>
      </c>
      <c r="BC116" s="734">
        <f t="shared" si="336"/>
        <v>52888435</v>
      </c>
      <c r="BD116" s="558">
        <v>4927904.6399999997</v>
      </c>
      <c r="BE116" s="564">
        <f>BD116+BC116</f>
        <v>57816339.640000001</v>
      </c>
      <c r="BF116" s="562">
        <v>57126594.469999999</v>
      </c>
      <c r="BG116" s="565">
        <f>BE116-BF116</f>
        <v>689745.17000000179</v>
      </c>
      <c r="BH116" s="875">
        <f>AG116+AH116</f>
        <v>53998689.829999998</v>
      </c>
      <c r="BI116" s="876">
        <f>BH116-AI116</f>
        <v>-3127904.6400000006</v>
      </c>
    </row>
    <row r="117" spans="1:61">
      <c r="A117" s="11">
        <v>1</v>
      </c>
      <c r="B117" s="13" t="s">
        <v>71</v>
      </c>
      <c r="C117" s="17">
        <v>5</v>
      </c>
      <c r="D117" s="17"/>
      <c r="E117" s="11">
        <v>2530.9</v>
      </c>
      <c r="F117" s="11"/>
      <c r="G117" s="555">
        <v>42181.67</v>
      </c>
      <c r="H117" s="545">
        <f>I117+J117+K117</f>
        <v>2530.9</v>
      </c>
      <c r="I117" s="11">
        <f t="shared" ref="I117:I123" si="337">E117-K117-J117</f>
        <v>2447.9</v>
      </c>
      <c r="J117" s="11"/>
      <c r="K117" s="11">
        <v>83</v>
      </c>
      <c r="L117" s="545">
        <f t="shared" ref="L117:L123" si="338">M117+N117</f>
        <v>0</v>
      </c>
      <c r="M117" s="11">
        <f>F117-N117</f>
        <v>0</v>
      </c>
      <c r="N117" s="11"/>
      <c r="O117" s="861">
        <f>P117-C117</f>
        <v>0</v>
      </c>
      <c r="P117" s="444">
        <v>5</v>
      </c>
      <c r="Q117" s="17"/>
      <c r="R117" s="555">
        <v>42181.67</v>
      </c>
      <c r="S117" s="555"/>
      <c r="T117" s="554">
        <f>U117+Y117</f>
        <v>2530900.2000000002</v>
      </c>
      <c r="U117" s="556">
        <f>ROUND(R117*P117*12,2)</f>
        <v>2530900.2000000002</v>
      </c>
      <c r="V117" s="433">
        <f t="shared" ref="V117:V123" si="339">U117-W117-X117</f>
        <v>2443700.2000000002</v>
      </c>
      <c r="W117" s="11"/>
      <c r="X117" s="11">
        <v>87200</v>
      </c>
      <c r="Y117" s="556">
        <f t="shared" ref="Y117:Y123" si="340">ROUND(S117*Q117*12,2)</f>
        <v>0</v>
      </c>
      <c r="Z117" s="11">
        <f t="shared" ref="Z117:Z123" si="341">Y117-AA117-AB117</f>
        <v>0</v>
      </c>
      <c r="AA117" s="11"/>
      <c r="AB117" s="11"/>
      <c r="AC117" s="554">
        <f t="shared" ref="AC117:AC123" si="342">AD117+AE117+AF117</f>
        <v>2530900.2000000002</v>
      </c>
      <c r="AD117" s="433">
        <f t="shared" ref="AD117:AD123" si="343">ROUND((Z117+V117),2)</f>
        <v>2443700.2000000002</v>
      </c>
      <c r="AE117" s="11">
        <f t="shared" ref="AE117:AF123" si="344">AA117+W117</f>
        <v>0</v>
      </c>
      <c r="AF117" s="11">
        <f t="shared" si="344"/>
        <v>87200</v>
      </c>
      <c r="AG117" s="544">
        <f t="shared" ref="AG117:AG123" si="345">ROUND(AD117*1.302,2)</f>
        <v>3181697.66</v>
      </c>
      <c r="AH117" s="739">
        <v>1800000</v>
      </c>
      <c r="AI117" s="1092" t="s">
        <v>707</v>
      </c>
      <c r="AJ117" s="1095"/>
      <c r="AK117" s="1095"/>
      <c r="AL117" s="557">
        <v>42181.67</v>
      </c>
      <c r="AM117" s="557">
        <f t="shared" si="226"/>
        <v>0</v>
      </c>
      <c r="AN117" s="1233"/>
      <c r="AO117" s="444">
        <v>5</v>
      </c>
      <c r="AP117" s="17"/>
      <c r="AQ117" s="554">
        <f>AR117+AV117</f>
        <v>2530900.2000000002</v>
      </c>
      <c r="AR117" s="734">
        <f t="shared" ref="AR117:AR188" si="346">ROUND((AL117*AO117*12),1)</f>
        <v>2530900.2000000002</v>
      </c>
      <c r="AS117" s="735">
        <f t="shared" ref="AS117:AS123" si="347">AR117-AT117-AU117</f>
        <v>2443700.2000000002</v>
      </c>
      <c r="AT117" s="11">
        <f>W117</f>
        <v>0</v>
      </c>
      <c r="AU117" s="11">
        <f t="shared" ref="AU117:AU123" si="348">X117</f>
        <v>87200</v>
      </c>
      <c r="AV117" s="545">
        <f t="shared" ref="AV117:AV168" si="349">ROUND(AM117*AP117*12,2)</f>
        <v>0</v>
      </c>
      <c r="AW117" s="11">
        <f t="shared" ref="AW117:AW123" si="350">AV117-AX117-AY117</f>
        <v>0</v>
      </c>
      <c r="AX117" s="11">
        <f t="shared" ref="AX117:AY123" si="351">AA117</f>
        <v>0</v>
      </c>
      <c r="AY117" s="11">
        <f t="shared" si="351"/>
        <v>0</v>
      </c>
      <c r="AZ117" s="18">
        <f>AX117+AT117</f>
        <v>0</v>
      </c>
      <c r="BA117" s="18">
        <f t="shared" ref="BA117:BA123" si="352">AY117+AU117</f>
        <v>87200</v>
      </c>
      <c r="BB117" s="19">
        <f>AW117+AS117</f>
        <v>2443700.2000000002</v>
      </c>
      <c r="BC117" s="736">
        <f>ROUND(BB117*1.302,1)</f>
        <v>3181697.7</v>
      </c>
      <c r="BD117" s="544"/>
      <c r="BE117" s="11"/>
      <c r="BF117" s="445"/>
      <c r="BG117" s="11"/>
      <c r="BH117" s="11"/>
      <c r="BI117" s="11"/>
    </row>
    <row r="118" spans="1:61">
      <c r="A118" s="11">
        <v>2</v>
      </c>
      <c r="B118" s="13" t="s">
        <v>72</v>
      </c>
      <c r="C118" s="17">
        <v>7.3</v>
      </c>
      <c r="D118" s="17">
        <v>0</v>
      </c>
      <c r="E118" s="11">
        <v>2808.1</v>
      </c>
      <c r="F118" s="11">
        <v>0</v>
      </c>
      <c r="G118" s="555">
        <v>32055.94</v>
      </c>
      <c r="H118" s="545">
        <f t="shared" ref="H118:H123" si="353">I118+J118+K118</f>
        <v>2808.1</v>
      </c>
      <c r="I118" s="11">
        <f t="shared" si="337"/>
        <v>2680.6</v>
      </c>
      <c r="J118" s="11"/>
      <c r="K118" s="11">
        <v>127.5</v>
      </c>
      <c r="L118" s="545">
        <f t="shared" si="338"/>
        <v>0</v>
      </c>
      <c r="M118" s="11">
        <f t="shared" ref="M118:M123" si="354">F118-N118</f>
        <v>0</v>
      </c>
      <c r="N118" s="11"/>
      <c r="O118" s="861">
        <f t="shared" ref="O118:O123" si="355">P118-C118</f>
        <v>-0.29999999999999982</v>
      </c>
      <c r="P118" s="444">
        <v>7</v>
      </c>
      <c r="Q118" s="17"/>
      <c r="R118" s="555">
        <v>32055.94</v>
      </c>
      <c r="S118" s="555"/>
      <c r="T118" s="554">
        <f t="shared" ref="T118:T123" si="356">U118+Y118</f>
        <v>2692698.96</v>
      </c>
      <c r="U118" s="556">
        <f t="shared" ref="U118:U123" si="357">ROUND(R118*P118*12,2)</f>
        <v>2692698.96</v>
      </c>
      <c r="V118" s="433">
        <f>U118-W118-X118</f>
        <v>2558798.96</v>
      </c>
      <c r="W118" s="11"/>
      <c r="X118" s="11">
        <v>133900</v>
      </c>
      <c r="Y118" s="556">
        <f t="shared" si="340"/>
        <v>0</v>
      </c>
      <c r="Z118" s="11">
        <f t="shared" si="341"/>
        <v>0</v>
      </c>
      <c r="AA118" s="11"/>
      <c r="AB118" s="11"/>
      <c r="AC118" s="554">
        <f t="shared" si="342"/>
        <v>2692698.96</v>
      </c>
      <c r="AD118" s="433">
        <f t="shared" si="343"/>
        <v>2558798.96</v>
      </c>
      <c r="AE118" s="11">
        <f t="shared" si="344"/>
        <v>0</v>
      </c>
      <c r="AF118" s="11">
        <f t="shared" si="344"/>
        <v>133900</v>
      </c>
      <c r="AG118" s="544">
        <f t="shared" si="345"/>
        <v>3331556.25</v>
      </c>
      <c r="AH118" s="433">
        <f>AH116-AH117</f>
        <v>0</v>
      </c>
      <c r="AI118" s="1084"/>
      <c r="AJ118" s="850"/>
      <c r="AK118" s="850"/>
      <c r="AL118" s="557">
        <v>32055.94</v>
      </c>
      <c r="AM118" s="557">
        <f t="shared" si="226"/>
        <v>0</v>
      </c>
      <c r="AN118" s="1233"/>
      <c r="AO118" s="444">
        <v>7</v>
      </c>
      <c r="AP118" s="17"/>
      <c r="AQ118" s="554">
        <f t="shared" ref="AQ118:AQ123" si="358">AR118+AV118</f>
        <v>2692699</v>
      </c>
      <c r="AR118" s="734">
        <f t="shared" si="346"/>
        <v>2692699</v>
      </c>
      <c r="AS118" s="735">
        <f t="shared" si="347"/>
        <v>2558799</v>
      </c>
      <c r="AT118" s="11">
        <f t="shared" ref="AT118:AT123" si="359">W118</f>
        <v>0</v>
      </c>
      <c r="AU118" s="11">
        <f t="shared" si="348"/>
        <v>133900</v>
      </c>
      <c r="AV118" s="545">
        <f t="shared" si="349"/>
        <v>0</v>
      </c>
      <c r="AW118" s="11">
        <f t="shared" si="350"/>
        <v>0</v>
      </c>
      <c r="AX118" s="11">
        <f t="shared" si="351"/>
        <v>0</v>
      </c>
      <c r="AY118" s="11">
        <f t="shared" si="351"/>
        <v>0</v>
      </c>
      <c r="AZ118" s="18">
        <f t="shared" ref="AZ118:AZ123" si="360">AX118+AT118</f>
        <v>0</v>
      </c>
      <c r="BA118" s="18">
        <f t="shared" si="352"/>
        <v>133900</v>
      </c>
      <c r="BB118" s="737">
        <f t="shared" ref="BB118:BB123" si="361">AW118+AS118</f>
        <v>2558799</v>
      </c>
      <c r="BC118" s="736">
        <f t="shared" ref="BC118:BC123" si="362">ROUND(BB118*1.302,1)</f>
        <v>3331556.3</v>
      </c>
      <c r="BD118" s="544"/>
      <c r="BE118" s="11"/>
      <c r="BF118" s="445"/>
      <c r="BG118" s="11"/>
      <c r="BH118" s="11"/>
      <c r="BI118" s="11"/>
    </row>
    <row r="119" spans="1:61">
      <c r="A119" s="11">
        <v>3</v>
      </c>
      <c r="B119" s="14" t="s">
        <v>76</v>
      </c>
      <c r="C119" s="17">
        <v>88.5</v>
      </c>
      <c r="D119" s="17">
        <v>1</v>
      </c>
      <c r="E119" s="11">
        <v>25582.9</v>
      </c>
      <c r="F119" s="11">
        <v>162.4</v>
      </c>
      <c r="G119" s="29">
        <v>24089.360000000001</v>
      </c>
      <c r="H119" s="545">
        <f t="shared" si="353"/>
        <v>25582.9</v>
      </c>
      <c r="I119" s="11">
        <f t="shared" si="337"/>
        <v>23961.5</v>
      </c>
      <c r="J119" s="11"/>
      <c r="K119" s="11">
        <v>1621.4</v>
      </c>
      <c r="L119" s="545">
        <f t="shared" si="338"/>
        <v>162.4</v>
      </c>
      <c r="M119" s="11">
        <f t="shared" si="354"/>
        <v>162.4</v>
      </c>
      <c r="N119" s="11"/>
      <c r="O119" s="861">
        <f t="shared" si="355"/>
        <v>1.5</v>
      </c>
      <c r="P119" s="444">
        <v>90</v>
      </c>
      <c r="Q119" s="17">
        <v>2.9</v>
      </c>
      <c r="R119" s="29">
        <v>24089.360000000001</v>
      </c>
      <c r="S119" s="555">
        <f>ROUND(F119/D119/12*1000,2)</f>
        <v>13533.33</v>
      </c>
      <c r="T119" s="554">
        <f t="shared" si="356"/>
        <v>26487468.68</v>
      </c>
      <c r="U119" s="556">
        <f t="shared" si="357"/>
        <v>26016508.800000001</v>
      </c>
      <c r="V119" s="433">
        <f t="shared" si="339"/>
        <v>24313908.800000001</v>
      </c>
      <c r="W119" s="11"/>
      <c r="X119" s="11">
        <v>1702600</v>
      </c>
      <c r="Y119" s="556">
        <f t="shared" si="340"/>
        <v>470959.88</v>
      </c>
      <c r="Z119" s="11">
        <f t="shared" si="341"/>
        <v>470959.88</v>
      </c>
      <c r="AA119" s="11"/>
      <c r="AB119" s="11"/>
      <c r="AC119" s="554">
        <f t="shared" si="342"/>
        <v>26487468.68</v>
      </c>
      <c r="AD119" s="433">
        <f t="shared" si="343"/>
        <v>24784868.68</v>
      </c>
      <c r="AE119" s="11">
        <f t="shared" si="344"/>
        <v>0</v>
      </c>
      <c r="AF119" s="11">
        <f t="shared" si="344"/>
        <v>1702600</v>
      </c>
      <c r="AG119" s="544">
        <f t="shared" si="345"/>
        <v>32269899.02</v>
      </c>
      <c r="AH119" s="11"/>
      <c r="AI119" s="1084"/>
      <c r="AJ119" s="850"/>
      <c r="AK119" s="850"/>
      <c r="AL119" s="440">
        <v>24089.360000000001</v>
      </c>
      <c r="AM119" s="557">
        <f t="shared" si="226"/>
        <v>13533.33</v>
      </c>
      <c r="AN119" s="1233">
        <f>AO119-P119</f>
        <v>3</v>
      </c>
      <c r="AO119" s="444">
        <v>93</v>
      </c>
      <c r="AP119" s="17"/>
      <c r="AQ119" s="554">
        <f t="shared" si="358"/>
        <v>26883725.800000001</v>
      </c>
      <c r="AR119" s="734">
        <f t="shared" si="346"/>
        <v>26883725.800000001</v>
      </c>
      <c r="AS119" s="735">
        <f t="shared" si="347"/>
        <v>25181125.800000001</v>
      </c>
      <c r="AT119" s="11">
        <f t="shared" si="359"/>
        <v>0</v>
      </c>
      <c r="AU119" s="11">
        <f t="shared" si="348"/>
        <v>1702600</v>
      </c>
      <c r="AV119" s="545">
        <f t="shared" si="349"/>
        <v>0</v>
      </c>
      <c r="AW119" s="735">
        <f t="shared" si="350"/>
        <v>0</v>
      </c>
      <c r="AX119" s="11">
        <f t="shared" si="351"/>
        <v>0</v>
      </c>
      <c r="AY119" s="11">
        <f t="shared" si="351"/>
        <v>0</v>
      </c>
      <c r="AZ119" s="18">
        <f t="shared" si="360"/>
        <v>0</v>
      </c>
      <c r="BA119" s="18">
        <f t="shared" si="352"/>
        <v>1702600</v>
      </c>
      <c r="BB119" s="19">
        <f t="shared" si="361"/>
        <v>25181125.800000001</v>
      </c>
      <c r="BC119" s="736">
        <f t="shared" si="362"/>
        <v>32785825.800000001</v>
      </c>
      <c r="BD119" s="544"/>
      <c r="BE119" s="11"/>
      <c r="BF119" s="445"/>
      <c r="BG119" s="11"/>
      <c r="BH119" s="11"/>
      <c r="BI119" s="11"/>
    </row>
    <row r="120" spans="1:61">
      <c r="A120" s="11">
        <v>4</v>
      </c>
      <c r="B120" s="14" t="s">
        <v>77</v>
      </c>
      <c r="C120" s="17">
        <v>3.9</v>
      </c>
      <c r="D120" s="17"/>
      <c r="E120" s="11">
        <v>776.7</v>
      </c>
      <c r="F120" s="11"/>
      <c r="G120" s="432">
        <v>16596.150000000001</v>
      </c>
      <c r="H120" s="545">
        <f t="shared" si="353"/>
        <v>776.7</v>
      </c>
      <c r="I120" s="11">
        <f t="shared" si="337"/>
        <v>719.1</v>
      </c>
      <c r="J120" s="11"/>
      <c r="K120" s="11">
        <v>57.6</v>
      </c>
      <c r="L120" s="545">
        <f t="shared" si="338"/>
        <v>0</v>
      </c>
      <c r="M120" s="11">
        <f t="shared" si="354"/>
        <v>0</v>
      </c>
      <c r="N120" s="11"/>
      <c r="O120" s="861">
        <f t="shared" si="355"/>
        <v>0.10000000000000009</v>
      </c>
      <c r="P120" s="444">
        <v>4</v>
      </c>
      <c r="Q120" s="17"/>
      <c r="R120" s="432">
        <v>16596.150000000001</v>
      </c>
      <c r="S120" s="555"/>
      <c r="T120" s="554">
        <f t="shared" si="356"/>
        <v>796615.2</v>
      </c>
      <c r="U120" s="556">
        <f t="shared" si="357"/>
        <v>796615.2</v>
      </c>
      <c r="V120" s="433">
        <f t="shared" si="339"/>
        <v>741215.2</v>
      </c>
      <c r="W120" s="11"/>
      <c r="X120" s="11">
        <v>55400</v>
      </c>
      <c r="Y120" s="556">
        <f t="shared" si="340"/>
        <v>0</v>
      </c>
      <c r="Z120" s="11">
        <f t="shared" si="341"/>
        <v>0</v>
      </c>
      <c r="AA120" s="11"/>
      <c r="AB120" s="11"/>
      <c r="AC120" s="554">
        <f t="shared" si="342"/>
        <v>796615.2</v>
      </c>
      <c r="AD120" s="433">
        <f t="shared" si="343"/>
        <v>741215.2</v>
      </c>
      <c r="AE120" s="11">
        <f t="shared" si="344"/>
        <v>0</v>
      </c>
      <c r="AF120" s="11">
        <f t="shared" si="344"/>
        <v>55400</v>
      </c>
      <c r="AG120" s="544">
        <f t="shared" si="345"/>
        <v>965062.19</v>
      </c>
      <c r="AH120" s="11"/>
      <c r="AI120" s="1084"/>
      <c r="AJ120" s="850"/>
      <c r="AK120" s="850"/>
      <c r="AL120" s="441">
        <v>16596.150000000001</v>
      </c>
      <c r="AM120" s="557">
        <f t="shared" si="226"/>
        <v>0</v>
      </c>
      <c r="AN120" s="1233"/>
      <c r="AO120" s="444">
        <v>4</v>
      </c>
      <c r="AP120" s="17"/>
      <c r="AQ120" s="554">
        <f t="shared" si="358"/>
        <v>796615.2</v>
      </c>
      <c r="AR120" s="734">
        <f t="shared" si="346"/>
        <v>796615.2</v>
      </c>
      <c r="AS120" s="735">
        <f t="shared" si="347"/>
        <v>741215.2</v>
      </c>
      <c r="AT120" s="11">
        <f t="shared" si="359"/>
        <v>0</v>
      </c>
      <c r="AU120" s="11">
        <f t="shared" si="348"/>
        <v>55400</v>
      </c>
      <c r="AV120" s="545">
        <f t="shared" si="349"/>
        <v>0</v>
      </c>
      <c r="AW120" s="11">
        <f t="shared" si="350"/>
        <v>0</v>
      </c>
      <c r="AX120" s="11">
        <f t="shared" si="351"/>
        <v>0</v>
      </c>
      <c r="AY120" s="11">
        <f t="shared" si="351"/>
        <v>0</v>
      </c>
      <c r="AZ120" s="18">
        <f t="shared" si="360"/>
        <v>0</v>
      </c>
      <c r="BA120" s="18">
        <f t="shared" si="352"/>
        <v>55400</v>
      </c>
      <c r="BB120" s="737">
        <f t="shared" si="361"/>
        <v>741215.2</v>
      </c>
      <c r="BC120" s="736">
        <f t="shared" si="362"/>
        <v>965062.2</v>
      </c>
      <c r="BD120" s="544"/>
      <c r="BE120" s="11"/>
      <c r="BF120" s="445"/>
      <c r="BG120" s="11"/>
      <c r="BH120" s="11"/>
      <c r="BI120" s="11"/>
    </row>
    <row r="121" spans="1:61">
      <c r="A121" s="11">
        <v>5</v>
      </c>
      <c r="B121" s="13" t="s">
        <v>73</v>
      </c>
      <c r="C121" s="17"/>
      <c r="D121" s="17"/>
      <c r="E121" s="11"/>
      <c r="F121" s="11"/>
      <c r="G121" s="555"/>
      <c r="H121" s="545">
        <f t="shared" si="353"/>
        <v>0</v>
      </c>
      <c r="I121" s="11">
        <f t="shared" si="337"/>
        <v>0</v>
      </c>
      <c r="J121" s="11"/>
      <c r="K121" s="11"/>
      <c r="L121" s="545">
        <f t="shared" si="338"/>
        <v>0</v>
      </c>
      <c r="M121" s="11">
        <f t="shared" si="354"/>
        <v>0</v>
      </c>
      <c r="N121" s="11"/>
      <c r="O121" s="861">
        <f t="shared" si="355"/>
        <v>0</v>
      </c>
      <c r="P121" s="444"/>
      <c r="Q121" s="17"/>
      <c r="R121" s="555"/>
      <c r="S121" s="555"/>
      <c r="T121" s="554">
        <f t="shared" si="356"/>
        <v>0</v>
      </c>
      <c r="U121" s="556">
        <f t="shared" si="357"/>
        <v>0</v>
      </c>
      <c r="V121" s="433">
        <f t="shared" si="339"/>
        <v>0</v>
      </c>
      <c r="W121" s="11"/>
      <c r="X121" s="11"/>
      <c r="Y121" s="556">
        <f t="shared" si="340"/>
        <v>0</v>
      </c>
      <c r="Z121" s="11">
        <f t="shared" si="341"/>
        <v>0</v>
      </c>
      <c r="AA121" s="11"/>
      <c r="AB121" s="11"/>
      <c r="AC121" s="554">
        <f t="shared" si="342"/>
        <v>0</v>
      </c>
      <c r="AD121" s="433">
        <f t="shared" si="343"/>
        <v>0</v>
      </c>
      <c r="AE121" s="11">
        <f t="shared" si="344"/>
        <v>0</v>
      </c>
      <c r="AF121" s="11">
        <f t="shared" si="344"/>
        <v>0</v>
      </c>
      <c r="AG121" s="544">
        <f t="shared" si="345"/>
        <v>0</v>
      </c>
      <c r="AH121" s="11"/>
      <c r="AI121" s="1084"/>
      <c r="AJ121" s="850"/>
      <c r="AK121" s="850"/>
      <c r="AL121" s="557"/>
      <c r="AM121" s="557">
        <f t="shared" si="226"/>
        <v>0</v>
      </c>
      <c r="AN121" s="1233"/>
      <c r="AO121" s="444"/>
      <c r="AP121" s="17"/>
      <c r="AQ121" s="554">
        <f t="shared" si="358"/>
        <v>0</v>
      </c>
      <c r="AR121" s="734">
        <f t="shared" si="346"/>
        <v>0</v>
      </c>
      <c r="AS121" s="735">
        <f t="shared" si="347"/>
        <v>0</v>
      </c>
      <c r="AT121" s="11">
        <f t="shared" si="359"/>
        <v>0</v>
      </c>
      <c r="AU121" s="11">
        <f t="shared" si="348"/>
        <v>0</v>
      </c>
      <c r="AV121" s="545">
        <f t="shared" si="349"/>
        <v>0</v>
      </c>
      <c r="AW121" s="11">
        <f t="shared" si="350"/>
        <v>0</v>
      </c>
      <c r="AX121" s="11">
        <f t="shared" si="351"/>
        <v>0</v>
      </c>
      <c r="AY121" s="11">
        <f t="shared" si="351"/>
        <v>0</v>
      </c>
      <c r="AZ121" s="18">
        <f t="shared" si="360"/>
        <v>0</v>
      </c>
      <c r="BA121" s="18">
        <f t="shared" si="352"/>
        <v>0</v>
      </c>
      <c r="BB121" s="19">
        <f t="shared" si="361"/>
        <v>0</v>
      </c>
      <c r="BC121" s="736">
        <f t="shared" si="362"/>
        <v>0</v>
      </c>
      <c r="BD121" s="544"/>
      <c r="BE121" s="11"/>
      <c r="BF121" s="445"/>
      <c r="BG121" s="11"/>
      <c r="BH121" s="11"/>
      <c r="BI121" s="11"/>
    </row>
    <row r="122" spans="1:61">
      <c r="A122" s="11">
        <v>6</v>
      </c>
      <c r="B122" s="13" t="s">
        <v>74</v>
      </c>
      <c r="C122" s="17">
        <v>1</v>
      </c>
      <c r="D122" s="17"/>
      <c r="E122" s="11">
        <v>212.1</v>
      </c>
      <c r="F122" s="11"/>
      <c r="G122" s="555">
        <v>17675</v>
      </c>
      <c r="H122" s="545">
        <f t="shared" si="353"/>
        <v>212.1</v>
      </c>
      <c r="I122" s="11">
        <f t="shared" si="337"/>
        <v>194.9</v>
      </c>
      <c r="J122" s="11"/>
      <c r="K122" s="11">
        <v>17.2</v>
      </c>
      <c r="L122" s="545">
        <f t="shared" si="338"/>
        <v>0</v>
      </c>
      <c r="M122" s="11">
        <f t="shared" si="354"/>
        <v>0</v>
      </c>
      <c r="N122" s="11"/>
      <c r="O122" s="861">
        <f t="shared" si="355"/>
        <v>0</v>
      </c>
      <c r="P122" s="444">
        <v>1</v>
      </c>
      <c r="Q122" s="17"/>
      <c r="R122" s="555">
        <v>17675</v>
      </c>
      <c r="S122" s="555"/>
      <c r="T122" s="554">
        <f t="shared" si="356"/>
        <v>212100</v>
      </c>
      <c r="U122" s="556">
        <f t="shared" si="357"/>
        <v>212100</v>
      </c>
      <c r="V122" s="433">
        <f t="shared" si="339"/>
        <v>194000</v>
      </c>
      <c r="W122" s="11"/>
      <c r="X122" s="11">
        <v>18100</v>
      </c>
      <c r="Y122" s="556">
        <f t="shared" si="340"/>
        <v>0</v>
      </c>
      <c r="Z122" s="11">
        <f t="shared" si="341"/>
        <v>0</v>
      </c>
      <c r="AA122" s="11"/>
      <c r="AB122" s="11"/>
      <c r="AC122" s="554">
        <f t="shared" si="342"/>
        <v>212100</v>
      </c>
      <c r="AD122" s="433">
        <f t="shared" si="343"/>
        <v>194000</v>
      </c>
      <c r="AE122" s="11">
        <f t="shared" si="344"/>
        <v>0</v>
      </c>
      <c r="AF122" s="11">
        <f t="shared" si="344"/>
        <v>18100</v>
      </c>
      <c r="AG122" s="736">
        <f t="shared" si="345"/>
        <v>252588</v>
      </c>
      <c r="AH122" s="11"/>
      <c r="AI122" s="1084"/>
      <c r="AJ122" s="850"/>
      <c r="AK122" s="850"/>
      <c r="AL122" s="557">
        <v>17675</v>
      </c>
      <c r="AM122" s="557">
        <f t="shared" si="226"/>
        <v>0</v>
      </c>
      <c r="AN122" s="1233">
        <f>AO122-P122</f>
        <v>-1</v>
      </c>
      <c r="AO122" s="444"/>
      <c r="AP122" s="17"/>
      <c r="AQ122" s="554">
        <f t="shared" si="358"/>
        <v>0</v>
      </c>
      <c r="AR122" s="734">
        <f t="shared" si="346"/>
        <v>0</v>
      </c>
      <c r="AS122" s="735">
        <f t="shared" si="347"/>
        <v>0</v>
      </c>
      <c r="AT122" s="11">
        <f t="shared" si="359"/>
        <v>0</v>
      </c>
      <c r="AU122" s="11"/>
      <c r="AV122" s="545">
        <f t="shared" si="349"/>
        <v>0</v>
      </c>
      <c r="AW122" s="11">
        <f t="shared" si="350"/>
        <v>0</v>
      </c>
      <c r="AX122" s="11">
        <f t="shared" si="351"/>
        <v>0</v>
      </c>
      <c r="AY122" s="11">
        <f t="shared" si="351"/>
        <v>0</v>
      </c>
      <c r="AZ122" s="18">
        <f t="shared" si="360"/>
        <v>0</v>
      </c>
      <c r="BA122" s="18">
        <f t="shared" si="352"/>
        <v>0</v>
      </c>
      <c r="BB122" s="19">
        <f t="shared" si="361"/>
        <v>0</v>
      </c>
      <c r="BC122" s="736">
        <f t="shared" si="362"/>
        <v>0</v>
      </c>
      <c r="BD122" s="544"/>
      <c r="BE122" s="11"/>
      <c r="BF122" s="445"/>
      <c r="BG122" s="11"/>
      <c r="BH122" s="11"/>
      <c r="BI122" s="11"/>
    </row>
    <row r="123" spans="1:61">
      <c r="A123" s="11">
        <v>7</v>
      </c>
      <c r="B123" s="1131" t="s">
        <v>814</v>
      </c>
      <c r="C123" s="17">
        <v>77.7</v>
      </c>
      <c r="D123" s="17">
        <v>0</v>
      </c>
      <c r="E123" s="11">
        <v>9197.1</v>
      </c>
      <c r="F123" s="11">
        <v>0</v>
      </c>
      <c r="G123" s="555">
        <v>9863.9</v>
      </c>
      <c r="H123" s="545">
        <f t="shared" si="353"/>
        <v>9197.1</v>
      </c>
      <c r="I123" s="11">
        <f t="shared" si="337"/>
        <v>9187.6</v>
      </c>
      <c r="J123" s="11"/>
      <c r="K123" s="11">
        <v>9.5</v>
      </c>
      <c r="L123" s="545">
        <f t="shared" si="338"/>
        <v>0</v>
      </c>
      <c r="M123" s="11">
        <f t="shared" si="354"/>
        <v>0</v>
      </c>
      <c r="N123" s="11"/>
      <c r="O123" s="861">
        <f t="shared" si="355"/>
        <v>-1.7000000000000028</v>
      </c>
      <c r="P123" s="444">
        <v>76</v>
      </c>
      <c r="Q123" s="17">
        <v>5.8</v>
      </c>
      <c r="R123" s="555">
        <v>9863.9</v>
      </c>
      <c r="S123" s="555">
        <v>5498.56</v>
      </c>
      <c r="T123" s="554">
        <f t="shared" si="356"/>
        <v>9378576.5800000001</v>
      </c>
      <c r="U123" s="556">
        <f t="shared" si="357"/>
        <v>8995876.8000000007</v>
      </c>
      <c r="V123" s="433">
        <f t="shared" si="339"/>
        <v>8985876.8000000007</v>
      </c>
      <c r="W123" s="11"/>
      <c r="X123" s="11">
        <v>10000</v>
      </c>
      <c r="Y123" s="556">
        <f t="shared" si="340"/>
        <v>382699.78</v>
      </c>
      <c r="Z123" s="11">
        <f t="shared" si="341"/>
        <v>382699.78</v>
      </c>
      <c r="AA123" s="11"/>
      <c r="AB123" s="11"/>
      <c r="AC123" s="554">
        <f t="shared" si="342"/>
        <v>9378576.5800000001</v>
      </c>
      <c r="AD123" s="433">
        <f t="shared" si="343"/>
        <v>9368576.5800000001</v>
      </c>
      <c r="AE123" s="11">
        <f t="shared" si="344"/>
        <v>0</v>
      </c>
      <c r="AF123" s="11">
        <f t="shared" si="344"/>
        <v>10000</v>
      </c>
      <c r="AG123" s="544">
        <f t="shared" si="345"/>
        <v>12197886.710000001</v>
      </c>
      <c r="AH123" s="11"/>
      <c r="AI123" s="1084"/>
      <c r="AJ123" s="850"/>
      <c r="AK123" s="850"/>
      <c r="AL123" s="557">
        <v>9863.9</v>
      </c>
      <c r="AM123" s="557">
        <f t="shared" si="226"/>
        <v>5498.56</v>
      </c>
      <c r="AN123" s="1233">
        <f>AO123-P123</f>
        <v>6</v>
      </c>
      <c r="AO123" s="444">
        <v>82</v>
      </c>
      <c r="AP123" s="17"/>
      <c r="AQ123" s="554">
        <f t="shared" si="358"/>
        <v>9706077.5999999996</v>
      </c>
      <c r="AR123" s="734">
        <f t="shared" si="346"/>
        <v>9706077.5999999996</v>
      </c>
      <c r="AS123" s="735">
        <f t="shared" si="347"/>
        <v>9696077.5999999996</v>
      </c>
      <c r="AT123" s="11">
        <f t="shared" si="359"/>
        <v>0</v>
      </c>
      <c r="AU123" s="11">
        <f t="shared" si="348"/>
        <v>10000</v>
      </c>
      <c r="AV123" s="545">
        <f t="shared" si="349"/>
        <v>0</v>
      </c>
      <c r="AW123" s="735">
        <f t="shared" si="350"/>
        <v>0</v>
      </c>
      <c r="AX123" s="11">
        <f t="shared" si="351"/>
        <v>0</v>
      </c>
      <c r="AY123" s="11">
        <f t="shared" si="351"/>
        <v>0</v>
      </c>
      <c r="AZ123" s="18">
        <f t="shared" si="360"/>
        <v>0</v>
      </c>
      <c r="BA123" s="18">
        <f t="shared" si="352"/>
        <v>10000</v>
      </c>
      <c r="BB123" s="19">
        <f t="shared" si="361"/>
        <v>9696077.5999999996</v>
      </c>
      <c r="BC123" s="736">
        <f t="shared" si="362"/>
        <v>12624293</v>
      </c>
      <c r="BD123" s="544"/>
      <c r="BE123" s="11"/>
      <c r="BF123" s="445"/>
      <c r="BG123" s="11"/>
      <c r="BH123" s="11"/>
      <c r="BI123" s="11"/>
    </row>
    <row r="124" spans="1:61">
      <c r="A124" s="11"/>
      <c r="B124" s="1132" t="s">
        <v>815</v>
      </c>
      <c r="C124" s="17"/>
      <c r="D124" s="17"/>
      <c r="E124" s="11"/>
      <c r="F124" s="11"/>
      <c r="G124" s="555"/>
      <c r="H124" s="545"/>
      <c r="I124" s="11"/>
      <c r="J124" s="11"/>
      <c r="K124" s="11"/>
      <c r="L124" s="545"/>
      <c r="M124" s="11"/>
      <c r="N124" s="11"/>
      <c r="O124" s="861"/>
      <c r="P124" s="444"/>
      <c r="Q124" s="17"/>
      <c r="R124" s="555"/>
      <c r="S124" s="555"/>
      <c r="T124" s="554"/>
      <c r="U124" s="556"/>
      <c r="V124" s="433"/>
      <c r="W124" s="11"/>
      <c r="X124" s="11"/>
      <c r="Y124" s="556"/>
      <c r="Z124" s="11"/>
      <c r="AA124" s="11"/>
      <c r="AB124" s="11"/>
      <c r="AC124" s="554"/>
      <c r="AD124" s="433"/>
      <c r="AE124" s="11"/>
      <c r="AF124" s="11"/>
      <c r="AG124" s="544"/>
      <c r="AH124" s="11"/>
      <c r="AI124" s="1084"/>
      <c r="AJ124" s="850"/>
      <c r="AK124" s="850"/>
      <c r="AL124" s="557"/>
      <c r="AM124" s="557"/>
      <c r="AN124" s="1233"/>
      <c r="AO124" s="1133"/>
      <c r="AP124" s="17"/>
      <c r="AQ124" s="554"/>
      <c r="AR124" s="734"/>
      <c r="AS124" s="735"/>
      <c r="AT124" s="11"/>
      <c r="AU124" s="11"/>
      <c r="AV124" s="545"/>
      <c r="AW124" s="735"/>
      <c r="AX124" s="11"/>
      <c r="AY124" s="11"/>
      <c r="AZ124" s="18"/>
      <c r="BA124" s="18"/>
      <c r="BB124" s="19"/>
      <c r="BC124" s="736"/>
      <c r="BD124" s="544"/>
      <c r="BE124" s="1045"/>
      <c r="BF124" s="445"/>
      <c r="BG124" s="1045"/>
      <c r="BH124" s="11"/>
      <c r="BI124" s="11"/>
    </row>
    <row r="125" spans="1:61" ht="19.149999999999999" customHeight="1">
      <c r="A125" s="545">
        <v>13</v>
      </c>
      <c r="B125" s="426" t="s">
        <v>100</v>
      </c>
      <c r="C125" s="545">
        <v>499.1</v>
      </c>
      <c r="D125" s="545">
        <v>15</v>
      </c>
      <c r="E125" s="545">
        <v>116176.7</v>
      </c>
      <c r="F125" s="545">
        <v>1877.9</v>
      </c>
      <c r="G125" s="558">
        <v>19397.7</v>
      </c>
      <c r="H125" s="545">
        <f t="shared" ref="H125:AG125" si="363">H126+H127+H128+H129+H130+H131+H132</f>
        <v>116176.7</v>
      </c>
      <c r="I125" s="545">
        <f t="shared" si="363"/>
        <v>113702.39999999999</v>
      </c>
      <c r="J125" s="545">
        <f t="shared" si="363"/>
        <v>0</v>
      </c>
      <c r="K125" s="545">
        <f t="shared" si="363"/>
        <v>2474.2999999999997</v>
      </c>
      <c r="L125" s="545">
        <f t="shared" si="363"/>
        <v>1877.9</v>
      </c>
      <c r="M125" s="545">
        <f t="shared" si="363"/>
        <v>1859.5</v>
      </c>
      <c r="N125" s="545">
        <f t="shared" si="363"/>
        <v>6.2000000000000055</v>
      </c>
      <c r="O125" s="559">
        <f t="shared" si="363"/>
        <v>18.399999999999999</v>
      </c>
      <c r="P125" s="560">
        <f t="shared" si="363"/>
        <v>505.3</v>
      </c>
      <c r="Q125" s="545">
        <f t="shared" si="363"/>
        <v>21.1</v>
      </c>
      <c r="R125" s="558">
        <v>19397.7</v>
      </c>
      <c r="S125" s="558"/>
      <c r="T125" s="558">
        <f>SUM(T126:T132)</f>
        <v>119375067.85000001</v>
      </c>
      <c r="U125" s="558">
        <f t="shared" ref="U125:AB125" si="364">U126+U127+U128+U129+U130+U131+U132</f>
        <v>116618065.89999999</v>
      </c>
      <c r="V125" s="558">
        <f t="shared" si="364"/>
        <v>113669665.89999999</v>
      </c>
      <c r="W125" s="558">
        <f t="shared" si="364"/>
        <v>456800</v>
      </c>
      <c r="X125" s="558">
        <f t="shared" si="364"/>
        <v>2491600</v>
      </c>
      <c r="Y125" s="558">
        <f t="shared" si="364"/>
        <v>2757001.95</v>
      </c>
      <c r="Z125" s="558">
        <f t="shared" si="364"/>
        <v>2757001.95</v>
      </c>
      <c r="AA125" s="545">
        <f t="shared" si="364"/>
        <v>0</v>
      </c>
      <c r="AB125" s="545">
        <f t="shared" si="364"/>
        <v>0</v>
      </c>
      <c r="AC125" s="545">
        <f t="shared" si="363"/>
        <v>119375067.85000001</v>
      </c>
      <c r="AD125" s="545">
        <f t="shared" si="363"/>
        <v>116426667.85000001</v>
      </c>
      <c r="AE125" s="558">
        <f t="shared" si="363"/>
        <v>456800</v>
      </c>
      <c r="AF125" s="558">
        <f t="shared" si="363"/>
        <v>2491600</v>
      </c>
      <c r="AG125" s="558">
        <f t="shared" si="363"/>
        <v>151587521.53</v>
      </c>
      <c r="AH125" s="898">
        <f>8384568.13</f>
        <v>8384568.1299999999</v>
      </c>
      <c r="AI125" s="1086">
        <v>159972089.66</v>
      </c>
      <c r="AJ125" s="765">
        <f>AH125+AG125</f>
        <v>159972089.66</v>
      </c>
      <c r="AK125" s="876">
        <f>AJ125-AI125</f>
        <v>0</v>
      </c>
      <c r="AL125" s="563">
        <v>19397.7</v>
      </c>
      <c r="AM125" s="563">
        <f t="shared" si="226"/>
        <v>0</v>
      </c>
      <c r="AN125" s="545">
        <f>AN126+AN127+AN128+AN129+AN130+AN131+AN132</f>
        <v>0</v>
      </c>
      <c r="AO125" s="545">
        <f>AO126+AO127+AO128+AO129+AO130+AO131+AO132</f>
        <v>505.3</v>
      </c>
      <c r="AP125" s="545">
        <f t="shared" ref="AP125:BC125" si="365">AP126+AP127+AP128+AP129+AP130+AP131+AP132</f>
        <v>21.1</v>
      </c>
      <c r="AQ125" s="558">
        <f>SUM(AQ126:AQ132)</f>
        <v>119375067.85000001</v>
      </c>
      <c r="AR125" s="558">
        <f t="shared" si="346"/>
        <v>117619893.7</v>
      </c>
      <c r="AS125" s="558">
        <f t="shared" si="365"/>
        <v>113669665.90000001</v>
      </c>
      <c r="AT125" s="558">
        <f t="shared" si="365"/>
        <v>456800</v>
      </c>
      <c r="AU125" s="558">
        <f t="shared" si="365"/>
        <v>2491600</v>
      </c>
      <c r="AV125" s="558">
        <f t="shared" si="349"/>
        <v>0</v>
      </c>
      <c r="AW125" s="558">
        <f>AW126+AW127+AW128+AW129+AW130+AW131+AW132</f>
        <v>2757001.95</v>
      </c>
      <c r="AX125" s="558">
        <f t="shared" si="365"/>
        <v>0</v>
      </c>
      <c r="AY125" s="558">
        <f t="shared" si="365"/>
        <v>0</v>
      </c>
      <c r="AZ125" s="558">
        <f t="shared" si="365"/>
        <v>456800</v>
      </c>
      <c r="BA125" s="558">
        <f t="shared" si="365"/>
        <v>2491600</v>
      </c>
      <c r="BB125" s="558">
        <f t="shared" si="365"/>
        <v>116426667.85000001</v>
      </c>
      <c r="BC125" s="558">
        <f t="shared" si="365"/>
        <v>151587521.60000002</v>
      </c>
      <c r="BD125" s="558">
        <v>8589321.5299999993</v>
      </c>
      <c r="BE125" s="564">
        <f>BD125+BC125</f>
        <v>160176843.13000003</v>
      </c>
      <c r="BF125" s="562">
        <v>159972089.66</v>
      </c>
      <c r="BG125" s="731">
        <f>BE125-BF125</f>
        <v>204753.47000002861</v>
      </c>
      <c r="BH125" s="876">
        <f>AG125+AH125</f>
        <v>159972089.66</v>
      </c>
      <c r="BI125" s="876">
        <f>BH125-AI125</f>
        <v>0</v>
      </c>
    </row>
    <row r="126" spans="1:61">
      <c r="A126" s="11">
        <v>1</v>
      </c>
      <c r="B126" s="13" t="s">
        <v>71</v>
      </c>
      <c r="C126" s="17">
        <v>15</v>
      </c>
      <c r="D126" s="17"/>
      <c r="E126" s="11">
        <v>8830.2000000000007</v>
      </c>
      <c r="F126" s="11"/>
      <c r="G126" s="555">
        <v>49056.67</v>
      </c>
      <c r="H126" s="545">
        <f>I126+J126+K126</f>
        <v>8830.2000000000007</v>
      </c>
      <c r="I126" s="11">
        <f t="shared" ref="I126:I132" si="366">E126-K126-J126</f>
        <v>8661.2000000000007</v>
      </c>
      <c r="J126" s="11"/>
      <c r="K126" s="11">
        <v>169</v>
      </c>
      <c r="L126" s="545">
        <f>M126+O126</f>
        <v>0</v>
      </c>
      <c r="M126" s="11">
        <f>F126-O126</f>
        <v>0</v>
      </c>
      <c r="N126" s="862">
        <f>P126-C126</f>
        <v>0</v>
      </c>
      <c r="O126" s="439"/>
      <c r="P126" s="444">
        <v>15</v>
      </c>
      <c r="Q126" s="17"/>
      <c r="R126" s="555">
        <v>49056.67</v>
      </c>
      <c r="S126" s="555"/>
      <c r="T126" s="554">
        <f>U126+Y126</f>
        <v>8830200.5999999996</v>
      </c>
      <c r="U126" s="554">
        <f t="shared" ref="U126:U132" si="367">ROUND(R126*P126*12,2)</f>
        <v>8830200.5999999996</v>
      </c>
      <c r="V126" s="433">
        <f>U126-W126-X126</f>
        <v>8654100.5999999996</v>
      </c>
      <c r="W126" s="433"/>
      <c r="X126" s="433">
        <v>176100</v>
      </c>
      <c r="Y126" s="554">
        <f t="shared" ref="Y126:Y132" si="368">ROUND(S126*Q126*12,2)</f>
        <v>0</v>
      </c>
      <c r="Z126" s="433">
        <f t="shared" ref="Z126:Z132" si="369">Y126-AA126-AB126</f>
        <v>0</v>
      </c>
      <c r="AA126" s="11"/>
      <c r="AB126" s="11"/>
      <c r="AC126" s="554">
        <f t="shared" ref="AC126:AC131" si="370">AD126+AE126+AF126</f>
        <v>8830200.5999999996</v>
      </c>
      <c r="AD126" s="433">
        <f t="shared" ref="AD126:AD132" si="371">ROUND((Z126+V126),2)</f>
        <v>8654100.5999999996</v>
      </c>
      <c r="AE126" s="433">
        <f t="shared" ref="AE126:AF132" si="372">AA126+W126</f>
        <v>0</v>
      </c>
      <c r="AF126" s="433">
        <f t="shared" si="372"/>
        <v>176100</v>
      </c>
      <c r="AG126" s="739">
        <f t="shared" ref="AG126:AG132" si="373">ROUND(AD126*1.302,2)</f>
        <v>11267638.98</v>
      </c>
      <c r="AH126" s="896"/>
      <c r="AI126" s="1084"/>
      <c r="AJ126" s="850"/>
      <c r="AK126" s="850"/>
      <c r="AL126" s="557">
        <v>49056.67</v>
      </c>
      <c r="AM126" s="557">
        <f t="shared" si="226"/>
        <v>0</v>
      </c>
      <c r="AN126" s="1233">
        <f>AO126-P126</f>
        <v>0</v>
      </c>
      <c r="AO126" s="444">
        <v>15</v>
      </c>
      <c r="AP126" s="17"/>
      <c r="AQ126" s="554">
        <f>AR126+AV126</f>
        <v>8830200.5999999996</v>
      </c>
      <c r="AR126" s="558">
        <f t="shared" si="346"/>
        <v>8830200.5999999996</v>
      </c>
      <c r="AS126" s="433">
        <f t="shared" ref="AS126:AS132" si="374">AR126-AT126-AU126</f>
        <v>8654100.5999999996</v>
      </c>
      <c r="AT126" s="433">
        <f>W126</f>
        <v>0</v>
      </c>
      <c r="AU126" s="433">
        <f t="shared" ref="AU126:AU132" si="375">X126</f>
        <v>176100</v>
      </c>
      <c r="AV126" s="558">
        <f t="shared" si="349"/>
        <v>0</v>
      </c>
      <c r="AW126" s="433">
        <f t="shared" ref="AW126:AW132" si="376">AV126-AX126-AY126</f>
        <v>0</v>
      </c>
      <c r="AX126" s="433">
        <f t="shared" ref="AX126:AY132" si="377">AA126</f>
        <v>0</v>
      </c>
      <c r="AY126" s="433">
        <f t="shared" si="377"/>
        <v>0</v>
      </c>
      <c r="AZ126" s="740">
        <f>AX126+AT126</f>
        <v>0</v>
      </c>
      <c r="BA126" s="740">
        <f t="shared" ref="BA126:BA132" si="378">AY126+AU126</f>
        <v>176100</v>
      </c>
      <c r="BB126" s="741">
        <f>AW126+AS126</f>
        <v>8654100.5999999996</v>
      </c>
      <c r="BC126" s="739">
        <f>ROUND(BB126*1.302,1)</f>
        <v>11267639</v>
      </c>
      <c r="BD126" s="544"/>
      <c r="BE126" s="11"/>
      <c r="BF126" s="445"/>
      <c r="BG126" s="11"/>
      <c r="BH126" s="11"/>
      <c r="BI126" s="11"/>
    </row>
    <row r="127" spans="1:61">
      <c r="A127" s="11">
        <v>2</v>
      </c>
      <c r="B127" s="13" t="s">
        <v>72</v>
      </c>
      <c r="C127" s="17">
        <v>41.8</v>
      </c>
      <c r="D127" s="17">
        <v>0.4</v>
      </c>
      <c r="E127" s="11">
        <v>17486.7</v>
      </c>
      <c r="F127" s="11">
        <v>139.80000000000001</v>
      </c>
      <c r="G127" s="555">
        <v>34861.839999999997</v>
      </c>
      <c r="H127" s="545">
        <f t="shared" ref="H127:H132" si="379">I127+J127+K127</f>
        <v>17486.7</v>
      </c>
      <c r="I127" s="11">
        <f t="shared" si="366"/>
        <v>17257.7</v>
      </c>
      <c r="J127" s="11"/>
      <c r="K127" s="11">
        <v>229</v>
      </c>
      <c r="L127" s="545">
        <f t="shared" ref="L127:L132" si="380">M127+O127</f>
        <v>139.80000000000001</v>
      </c>
      <c r="M127" s="11">
        <f t="shared" ref="M127:M132" si="381">F127-O127</f>
        <v>139.80000000000001</v>
      </c>
      <c r="N127" s="862">
        <f t="shared" ref="N127:N132" si="382">P127-C127</f>
        <v>-2.5999999999999943</v>
      </c>
      <c r="O127" s="439"/>
      <c r="P127" s="444">
        <v>39.200000000000003</v>
      </c>
      <c r="Q127" s="17">
        <v>1</v>
      </c>
      <c r="R127" s="555">
        <v>34861.839999999997</v>
      </c>
      <c r="S127" s="555">
        <f t="shared" ref="S127:S132" si="383">ROUND(F127/D127/12*1000,2)</f>
        <v>29125</v>
      </c>
      <c r="T127" s="554">
        <f t="shared" ref="T127:T132" si="384">U127+Y127</f>
        <v>16748509.539999999</v>
      </c>
      <c r="U127" s="554">
        <f t="shared" si="367"/>
        <v>16399009.539999999</v>
      </c>
      <c r="V127" s="433">
        <f t="shared" ref="V127:V132" si="385">U127-W127-X127</f>
        <v>16184009.539999999</v>
      </c>
      <c r="W127" s="433"/>
      <c r="X127" s="433">
        <v>215000</v>
      </c>
      <c r="Y127" s="554">
        <f t="shared" si="368"/>
        <v>349500</v>
      </c>
      <c r="Z127" s="433">
        <f t="shared" si="369"/>
        <v>349500</v>
      </c>
      <c r="AA127" s="11"/>
      <c r="AB127" s="11"/>
      <c r="AC127" s="554">
        <f t="shared" si="370"/>
        <v>16748509.539999999</v>
      </c>
      <c r="AD127" s="433">
        <f t="shared" si="371"/>
        <v>16533509.539999999</v>
      </c>
      <c r="AE127" s="433">
        <f t="shared" si="372"/>
        <v>0</v>
      </c>
      <c r="AF127" s="433">
        <f t="shared" si="372"/>
        <v>215000</v>
      </c>
      <c r="AG127" s="739">
        <f t="shared" si="373"/>
        <v>21526629.420000002</v>
      </c>
      <c r="AH127" s="897"/>
      <c r="AI127" s="1084"/>
      <c r="AJ127" s="850"/>
      <c r="AK127" s="850"/>
      <c r="AL127" s="557">
        <v>34861.839999999997</v>
      </c>
      <c r="AM127" s="557">
        <f t="shared" si="226"/>
        <v>29125</v>
      </c>
      <c r="AN127" s="1233"/>
      <c r="AO127" s="444">
        <v>39.200000000000003</v>
      </c>
      <c r="AP127" s="17">
        <v>1</v>
      </c>
      <c r="AQ127" s="554">
        <f t="shared" ref="AQ127:AQ132" si="386">AR127+AV127</f>
        <v>16748509.5</v>
      </c>
      <c r="AR127" s="558">
        <f t="shared" si="346"/>
        <v>16399009.5</v>
      </c>
      <c r="AS127" s="433">
        <f t="shared" si="374"/>
        <v>16184009.5</v>
      </c>
      <c r="AT127" s="433">
        <f t="shared" ref="AT127:AT132" si="387">W127</f>
        <v>0</v>
      </c>
      <c r="AU127" s="433">
        <f t="shared" si="375"/>
        <v>215000</v>
      </c>
      <c r="AV127" s="558">
        <f t="shared" si="349"/>
        <v>349500</v>
      </c>
      <c r="AW127" s="433">
        <f t="shared" si="376"/>
        <v>349500</v>
      </c>
      <c r="AX127" s="433">
        <f t="shared" si="377"/>
        <v>0</v>
      </c>
      <c r="AY127" s="433">
        <f t="shared" si="377"/>
        <v>0</v>
      </c>
      <c r="AZ127" s="740">
        <f t="shared" ref="AZ127:AZ132" si="388">AX127+AT127</f>
        <v>0</v>
      </c>
      <c r="BA127" s="740">
        <f t="shared" si="378"/>
        <v>215000</v>
      </c>
      <c r="BB127" s="741">
        <f t="shared" ref="BB127:BB132" si="389">AW127+AS127</f>
        <v>16533509.5</v>
      </c>
      <c r="BC127" s="739">
        <f t="shared" ref="BC127:BC132" si="390">ROUND(BB127*1.302,1)</f>
        <v>21526629.399999999</v>
      </c>
      <c r="BD127" s="544"/>
      <c r="BE127" s="11"/>
      <c r="BF127" s="445"/>
      <c r="BG127" s="11"/>
      <c r="BH127" s="11"/>
      <c r="BI127" s="11"/>
    </row>
    <row r="128" spans="1:61">
      <c r="A128" s="11">
        <v>3</v>
      </c>
      <c r="B128" s="14" t="s">
        <v>76</v>
      </c>
      <c r="C128" s="17">
        <v>244.8</v>
      </c>
      <c r="D128" s="17">
        <v>5.0999999999999996</v>
      </c>
      <c r="E128" s="11">
        <v>65110.5</v>
      </c>
      <c r="F128" s="11">
        <v>735.4</v>
      </c>
      <c r="G128" s="29">
        <v>22164.52</v>
      </c>
      <c r="H128" s="545">
        <f t="shared" si="379"/>
        <v>65110.5</v>
      </c>
      <c r="I128" s="11">
        <f t="shared" si="366"/>
        <v>63102.9</v>
      </c>
      <c r="J128" s="11"/>
      <c r="K128" s="11">
        <v>2007.6</v>
      </c>
      <c r="L128" s="545">
        <f t="shared" si="380"/>
        <v>735.4</v>
      </c>
      <c r="M128" s="11">
        <f t="shared" si="381"/>
        <v>717</v>
      </c>
      <c r="N128" s="862">
        <f t="shared" si="382"/>
        <v>1.3999999999999773</v>
      </c>
      <c r="O128" s="439">
        <v>18.399999999999999</v>
      </c>
      <c r="P128" s="444">
        <v>246.2</v>
      </c>
      <c r="Q128" s="17">
        <v>7.4</v>
      </c>
      <c r="R128" s="29">
        <v>22164.52</v>
      </c>
      <c r="S128" s="555">
        <f t="shared" si="383"/>
        <v>12016.34</v>
      </c>
      <c r="T128" s="554">
        <f t="shared" si="384"/>
        <v>66549908.880000003</v>
      </c>
      <c r="U128" s="554">
        <f t="shared" si="367"/>
        <v>65482857.890000001</v>
      </c>
      <c r="V128" s="433">
        <f t="shared" si="385"/>
        <v>63268357.890000001</v>
      </c>
      <c r="W128" s="433">
        <v>182700</v>
      </c>
      <c r="X128" s="433">
        <v>2031800</v>
      </c>
      <c r="Y128" s="554">
        <f t="shared" si="368"/>
        <v>1067050.99</v>
      </c>
      <c r="Z128" s="433">
        <f t="shared" si="369"/>
        <v>1067050.99</v>
      </c>
      <c r="AA128" s="11"/>
      <c r="AB128" s="11"/>
      <c r="AC128" s="554">
        <f t="shared" si="370"/>
        <v>66549908.880000003</v>
      </c>
      <c r="AD128" s="433">
        <f t="shared" si="371"/>
        <v>64335408.880000003</v>
      </c>
      <c r="AE128" s="433">
        <f t="shared" si="372"/>
        <v>182700</v>
      </c>
      <c r="AF128" s="433">
        <f t="shared" si="372"/>
        <v>2031800</v>
      </c>
      <c r="AG128" s="739">
        <f t="shared" si="373"/>
        <v>83764702.359999999</v>
      </c>
      <c r="AH128" s="11"/>
      <c r="AI128" s="1084"/>
      <c r="AJ128" s="850"/>
      <c r="AK128" s="850"/>
      <c r="AL128" s="440">
        <v>22164.52</v>
      </c>
      <c r="AM128" s="557">
        <f t="shared" si="226"/>
        <v>12016.34</v>
      </c>
      <c r="AN128" s="1233"/>
      <c r="AO128" s="444">
        <v>246.2</v>
      </c>
      <c r="AP128" s="17">
        <v>7.4</v>
      </c>
      <c r="AQ128" s="554">
        <f t="shared" si="386"/>
        <v>66549908.890000001</v>
      </c>
      <c r="AR128" s="558">
        <f t="shared" si="346"/>
        <v>65482857.899999999</v>
      </c>
      <c r="AS128" s="433">
        <f t="shared" si="374"/>
        <v>63268357.899999999</v>
      </c>
      <c r="AT128" s="433">
        <f t="shared" si="387"/>
        <v>182700</v>
      </c>
      <c r="AU128" s="433">
        <f t="shared" si="375"/>
        <v>2031800</v>
      </c>
      <c r="AV128" s="558">
        <f t="shared" si="349"/>
        <v>1067050.99</v>
      </c>
      <c r="AW128" s="433">
        <f t="shared" si="376"/>
        <v>1067050.99</v>
      </c>
      <c r="AX128" s="433">
        <f t="shared" si="377"/>
        <v>0</v>
      </c>
      <c r="AY128" s="433">
        <f t="shared" si="377"/>
        <v>0</v>
      </c>
      <c r="AZ128" s="740">
        <f t="shared" si="388"/>
        <v>182700</v>
      </c>
      <c r="BA128" s="740">
        <f t="shared" si="378"/>
        <v>2031800</v>
      </c>
      <c r="BB128" s="741">
        <f t="shared" si="389"/>
        <v>64335408.890000001</v>
      </c>
      <c r="BC128" s="739">
        <f t="shared" si="390"/>
        <v>83764702.400000006</v>
      </c>
      <c r="BD128" s="544"/>
      <c r="BE128" s="11"/>
      <c r="BF128" s="445"/>
      <c r="BG128" s="11"/>
      <c r="BH128" s="11"/>
      <c r="BI128" s="11"/>
    </row>
    <row r="129" spans="1:62">
      <c r="A129" s="11">
        <v>4</v>
      </c>
      <c r="B129" s="14" t="s">
        <v>77</v>
      </c>
      <c r="C129" s="17">
        <v>7.3</v>
      </c>
      <c r="D129" s="17"/>
      <c r="E129" s="11">
        <v>1447.6</v>
      </c>
      <c r="F129" s="11"/>
      <c r="G129" s="432">
        <v>16525.11</v>
      </c>
      <c r="H129" s="545">
        <f t="shared" si="379"/>
        <v>1447.6</v>
      </c>
      <c r="I129" s="11">
        <f t="shared" si="366"/>
        <v>1378.8999999999999</v>
      </c>
      <c r="J129" s="11"/>
      <c r="K129" s="11">
        <v>68.7</v>
      </c>
      <c r="L129" s="545">
        <f t="shared" si="380"/>
        <v>0</v>
      </c>
      <c r="M129" s="11">
        <f t="shared" si="381"/>
        <v>0</v>
      </c>
      <c r="N129" s="862">
        <f t="shared" si="382"/>
        <v>3.3</v>
      </c>
      <c r="O129" s="439"/>
      <c r="P129" s="444">
        <v>10.6</v>
      </c>
      <c r="Q129" s="17"/>
      <c r="R129" s="432">
        <v>16525.11</v>
      </c>
      <c r="S129" s="555"/>
      <c r="T129" s="554">
        <f t="shared" si="384"/>
        <v>2101993.9900000002</v>
      </c>
      <c r="U129" s="554">
        <f t="shared" si="367"/>
        <v>2101993.9900000002</v>
      </c>
      <c r="V129" s="433">
        <f t="shared" si="385"/>
        <v>2033293.9900000002</v>
      </c>
      <c r="W129" s="433"/>
      <c r="X129" s="433">
        <v>68700</v>
      </c>
      <c r="Y129" s="554">
        <f t="shared" si="368"/>
        <v>0</v>
      </c>
      <c r="Z129" s="433">
        <f t="shared" si="369"/>
        <v>0</v>
      </c>
      <c r="AA129" s="11"/>
      <c r="AB129" s="11"/>
      <c r="AC129" s="554">
        <f t="shared" si="370"/>
        <v>2101993.9900000002</v>
      </c>
      <c r="AD129" s="433">
        <f t="shared" si="371"/>
        <v>2033293.99</v>
      </c>
      <c r="AE129" s="433">
        <f t="shared" si="372"/>
        <v>0</v>
      </c>
      <c r="AF129" s="433">
        <f t="shared" si="372"/>
        <v>68700</v>
      </c>
      <c r="AG129" s="739">
        <f t="shared" si="373"/>
        <v>2647348.77</v>
      </c>
      <c r="AH129" s="11"/>
      <c r="AI129" s="1084"/>
      <c r="AJ129" s="850"/>
      <c r="AK129" s="850"/>
      <c r="AL129" s="441">
        <v>16525.11</v>
      </c>
      <c r="AM129" s="557">
        <f t="shared" si="226"/>
        <v>0</v>
      </c>
      <c r="AN129" s="1233"/>
      <c r="AO129" s="444">
        <v>10.6</v>
      </c>
      <c r="AP129" s="17"/>
      <c r="AQ129" s="554">
        <f t="shared" si="386"/>
        <v>2101994</v>
      </c>
      <c r="AR129" s="558">
        <f t="shared" si="346"/>
        <v>2101994</v>
      </c>
      <c r="AS129" s="433">
        <f t="shared" si="374"/>
        <v>2033294</v>
      </c>
      <c r="AT129" s="433">
        <f t="shared" si="387"/>
        <v>0</v>
      </c>
      <c r="AU129" s="433">
        <f t="shared" si="375"/>
        <v>68700</v>
      </c>
      <c r="AV129" s="558">
        <f t="shared" si="349"/>
        <v>0</v>
      </c>
      <c r="AW129" s="433">
        <f t="shared" si="376"/>
        <v>0</v>
      </c>
      <c r="AX129" s="433">
        <f t="shared" si="377"/>
        <v>0</v>
      </c>
      <c r="AY129" s="433">
        <f t="shared" si="377"/>
        <v>0</v>
      </c>
      <c r="AZ129" s="740">
        <f t="shared" si="388"/>
        <v>0</v>
      </c>
      <c r="BA129" s="740">
        <f t="shared" si="378"/>
        <v>68700</v>
      </c>
      <c r="BB129" s="741">
        <f t="shared" si="389"/>
        <v>2033294</v>
      </c>
      <c r="BC129" s="739">
        <f t="shared" si="390"/>
        <v>2647348.7999999998</v>
      </c>
      <c r="BD129" s="544"/>
      <c r="BE129" s="11"/>
      <c r="BF129" s="445"/>
      <c r="BG129" s="11"/>
      <c r="BH129" s="11"/>
      <c r="BI129" s="11"/>
    </row>
    <row r="130" spans="1:62">
      <c r="A130" s="11">
        <v>5</v>
      </c>
      <c r="B130" s="13" t="s">
        <v>73</v>
      </c>
      <c r="C130" s="17"/>
      <c r="D130" s="17"/>
      <c r="E130" s="11"/>
      <c r="F130" s="11"/>
      <c r="G130" s="555"/>
      <c r="H130" s="545">
        <f t="shared" si="379"/>
        <v>0</v>
      </c>
      <c r="I130" s="11">
        <f t="shared" si="366"/>
        <v>0</v>
      </c>
      <c r="J130" s="11"/>
      <c r="K130" s="11"/>
      <c r="L130" s="545">
        <f t="shared" si="380"/>
        <v>0</v>
      </c>
      <c r="M130" s="11">
        <f t="shared" si="381"/>
        <v>0</v>
      </c>
      <c r="N130" s="862">
        <f t="shared" si="382"/>
        <v>0</v>
      </c>
      <c r="O130" s="439"/>
      <c r="P130" s="444"/>
      <c r="Q130" s="17"/>
      <c r="R130" s="555"/>
      <c r="S130" s="555"/>
      <c r="T130" s="554">
        <f t="shared" si="384"/>
        <v>0</v>
      </c>
      <c r="U130" s="554">
        <f t="shared" si="367"/>
        <v>0</v>
      </c>
      <c r="V130" s="433">
        <f t="shared" si="385"/>
        <v>0</v>
      </c>
      <c r="W130" s="433"/>
      <c r="X130" s="433"/>
      <c r="Y130" s="554">
        <f t="shared" si="368"/>
        <v>0</v>
      </c>
      <c r="Z130" s="433">
        <f t="shared" si="369"/>
        <v>0</v>
      </c>
      <c r="AA130" s="11"/>
      <c r="AB130" s="11"/>
      <c r="AC130" s="554">
        <f t="shared" si="370"/>
        <v>0</v>
      </c>
      <c r="AD130" s="433">
        <f t="shared" si="371"/>
        <v>0</v>
      </c>
      <c r="AE130" s="433">
        <f t="shared" si="372"/>
        <v>0</v>
      </c>
      <c r="AF130" s="433">
        <f t="shared" si="372"/>
        <v>0</v>
      </c>
      <c r="AG130" s="739">
        <f t="shared" si="373"/>
        <v>0</v>
      </c>
      <c r="AH130" s="11"/>
      <c r="AI130" s="1084"/>
      <c r="AJ130" s="850"/>
      <c r="AK130" s="850"/>
      <c r="AL130" s="557"/>
      <c r="AM130" s="557">
        <f t="shared" si="226"/>
        <v>0</v>
      </c>
      <c r="AN130" s="1233"/>
      <c r="AO130" s="444"/>
      <c r="AP130" s="17"/>
      <c r="AQ130" s="554">
        <f t="shared" si="386"/>
        <v>0</v>
      </c>
      <c r="AR130" s="558">
        <f t="shared" si="346"/>
        <v>0</v>
      </c>
      <c r="AS130" s="433">
        <f t="shared" si="374"/>
        <v>0</v>
      </c>
      <c r="AT130" s="433">
        <f t="shared" si="387"/>
        <v>0</v>
      </c>
      <c r="AU130" s="433">
        <f t="shared" si="375"/>
        <v>0</v>
      </c>
      <c r="AV130" s="558">
        <f t="shared" si="349"/>
        <v>0</v>
      </c>
      <c r="AW130" s="433">
        <f t="shared" si="376"/>
        <v>0</v>
      </c>
      <c r="AX130" s="433">
        <f t="shared" si="377"/>
        <v>0</v>
      </c>
      <c r="AY130" s="433">
        <f t="shared" si="377"/>
        <v>0</v>
      </c>
      <c r="AZ130" s="740">
        <f t="shared" si="388"/>
        <v>0</v>
      </c>
      <c r="BA130" s="740">
        <f t="shared" si="378"/>
        <v>0</v>
      </c>
      <c r="BB130" s="741">
        <f t="shared" si="389"/>
        <v>0</v>
      </c>
      <c r="BC130" s="739">
        <f t="shared" si="390"/>
        <v>0</v>
      </c>
      <c r="BD130" s="544"/>
      <c r="BE130" s="11"/>
      <c r="BF130" s="445"/>
      <c r="BG130" s="11"/>
      <c r="BH130" s="11"/>
      <c r="BI130" s="11"/>
    </row>
    <row r="131" spans="1:62">
      <c r="A131" s="11">
        <v>6</v>
      </c>
      <c r="B131" s="13" t="s">
        <v>74</v>
      </c>
      <c r="C131" s="17"/>
      <c r="D131" s="17"/>
      <c r="E131" s="11"/>
      <c r="F131" s="11"/>
      <c r="G131" s="555"/>
      <c r="H131" s="545">
        <f t="shared" si="379"/>
        <v>0</v>
      </c>
      <c r="I131" s="11">
        <f t="shared" si="366"/>
        <v>0</v>
      </c>
      <c r="J131" s="11"/>
      <c r="K131" s="11"/>
      <c r="L131" s="545">
        <f t="shared" si="380"/>
        <v>0</v>
      </c>
      <c r="M131" s="11">
        <f t="shared" si="381"/>
        <v>0</v>
      </c>
      <c r="N131" s="862">
        <f t="shared" si="382"/>
        <v>0</v>
      </c>
      <c r="O131" s="439"/>
      <c r="P131" s="444"/>
      <c r="Q131" s="17"/>
      <c r="R131" s="555"/>
      <c r="S131" s="555"/>
      <c r="T131" s="554">
        <f t="shared" si="384"/>
        <v>0</v>
      </c>
      <c r="U131" s="554">
        <f t="shared" si="367"/>
        <v>0</v>
      </c>
      <c r="V131" s="433">
        <f t="shared" si="385"/>
        <v>0</v>
      </c>
      <c r="W131" s="433"/>
      <c r="X131" s="433"/>
      <c r="Y131" s="554">
        <f t="shared" si="368"/>
        <v>0</v>
      </c>
      <c r="Z131" s="433">
        <f t="shared" si="369"/>
        <v>0</v>
      </c>
      <c r="AA131" s="11"/>
      <c r="AB131" s="11"/>
      <c r="AC131" s="554">
        <f t="shared" si="370"/>
        <v>0</v>
      </c>
      <c r="AD131" s="433">
        <f t="shared" si="371"/>
        <v>0</v>
      </c>
      <c r="AE131" s="433">
        <f t="shared" si="372"/>
        <v>0</v>
      </c>
      <c r="AF131" s="433">
        <f t="shared" si="372"/>
        <v>0</v>
      </c>
      <c r="AG131" s="739">
        <f t="shared" si="373"/>
        <v>0</v>
      </c>
      <c r="AH131" s="11"/>
      <c r="AI131" s="1084"/>
      <c r="AJ131" s="850"/>
      <c r="AK131" s="850"/>
      <c r="AL131" s="557"/>
      <c r="AM131" s="557">
        <f t="shared" si="226"/>
        <v>0</v>
      </c>
      <c r="AN131" s="1233"/>
      <c r="AO131" s="444"/>
      <c r="AP131" s="17"/>
      <c r="AQ131" s="554">
        <f t="shared" si="386"/>
        <v>0</v>
      </c>
      <c r="AR131" s="558">
        <f t="shared" si="346"/>
        <v>0</v>
      </c>
      <c r="AS131" s="433">
        <f t="shared" si="374"/>
        <v>0</v>
      </c>
      <c r="AT131" s="433">
        <f t="shared" si="387"/>
        <v>0</v>
      </c>
      <c r="AU131" s="433">
        <f t="shared" si="375"/>
        <v>0</v>
      </c>
      <c r="AV131" s="558">
        <f t="shared" si="349"/>
        <v>0</v>
      </c>
      <c r="AW131" s="433">
        <f t="shared" si="376"/>
        <v>0</v>
      </c>
      <c r="AX131" s="433">
        <f t="shared" si="377"/>
        <v>0</v>
      </c>
      <c r="AY131" s="433">
        <f t="shared" si="377"/>
        <v>0</v>
      </c>
      <c r="AZ131" s="740">
        <f t="shared" si="388"/>
        <v>0</v>
      </c>
      <c r="BA131" s="740">
        <f t="shared" si="378"/>
        <v>0</v>
      </c>
      <c r="BB131" s="741">
        <f t="shared" si="389"/>
        <v>0</v>
      </c>
      <c r="BC131" s="739">
        <f t="shared" si="390"/>
        <v>0</v>
      </c>
      <c r="BD131" s="544"/>
      <c r="BE131" s="11"/>
      <c r="BF131" s="445"/>
      <c r="BG131" s="11"/>
      <c r="BH131" s="11"/>
      <c r="BI131" s="11"/>
    </row>
    <row r="132" spans="1:62">
      <c r="A132" s="11">
        <v>7</v>
      </c>
      <c r="B132" s="1131" t="s">
        <v>814</v>
      </c>
      <c r="C132" s="17">
        <v>190.2</v>
      </c>
      <c r="D132" s="17">
        <v>9.5</v>
      </c>
      <c r="E132" s="11">
        <v>23301.7</v>
      </c>
      <c r="F132" s="11">
        <v>1002.7</v>
      </c>
      <c r="G132" s="555">
        <v>10209.299999999999</v>
      </c>
      <c r="H132" s="545">
        <f t="shared" si="379"/>
        <v>23301.7</v>
      </c>
      <c r="I132" s="11">
        <f t="shared" si="366"/>
        <v>23301.7</v>
      </c>
      <c r="J132" s="11"/>
      <c r="K132" s="11">
        <v>0</v>
      </c>
      <c r="L132" s="545">
        <f t="shared" si="380"/>
        <v>1002.7</v>
      </c>
      <c r="M132" s="11">
        <f t="shared" si="381"/>
        <v>1002.7</v>
      </c>
      <c r="N132" s="862">
        <f t="shared" si="382"/>
        <v>4.1000000000000227</v>
      </c>
      <c r="O132" s="439"/>
      <c r="P132" s="444">
        <v>194.3</v>
      </c>
      <c r="Q132" s="17">
        <v>12.7</v>
      </c>
      <c r="R132" s="555">
        <v>10209.299999999999</v>
      </c>
      <c r="S132" s="555">
        <f t="shared" si="383"/>
        <v>8795.61</v>
      </c>
      <c r="T132" s="554">
        <f t="shared" si="384"/>
        <v>25144454.84</v>
      </c>
      <c r="U132" s="554">
        <f t="shared" si="367"/>
        <v>23804003.879999999</v>
      </c>
      <c r="V132" s="433">
        <f t="shared" si="385"/>
        <v>23529903.879999999</v>
      </c>
      <c r="W132" s="433">
        <v>274100</v>
      </c>
      <c r="X132" s="433"/>
      <c r="Y132" s="554">
        <f t="shared" si="368"/>
        <v>1340450.96</v>
      </c>
      <c r="Z132" s="433">
        <f t="shared" si="369"/>
        <v>1340450.96</v>
      </c>
      <c r="AA132" s="11"/>
      <c r="AB132" s="11"/>
      <c r="AC132" s="554">
        <f>AD132+AE132+AF132</f>
        <v>25144454.84</v>
      </c>
      <c r="AD132" s="433">
        <f t="shared" si="371"/>
        <v>24870354.84</v>
      </c>
      <c r="AE132" s="433">
        <f t="shared" si="372"/>
        <v>274100</v>
      </c>
      <c r="AF132" s="433">
        <f t="shared" si="372"/>
        <v>0</v>
      </c>
      <c r="AG132" s="739">
        <f t="shared" si="373"/>
        <v>32381202</v>
      </c>
      <c r="AH132" s="11"/>
      <c r="AI132" s="1084"/>
      <c r="AJ132" s="850"/>
      <c r="AK132" s="850"/>
      <c r="AL132" s="557">
        <v>10209.299999999999</v>
      </c>
      <c r="AM132" s="557">
        <f t="shared" si="226"/>
        <v>8795.61</v>
      </c>
      <c r="AN132" s="1233"/>
      <c r="AO132" s="444">
        <v>194.3</v>
      </c>
      <c r="AP132" s="17">
        <v>12.7</v>
      </c>
      <c r="AQ132" s="554">
        <f t="shared" si="386"/>
        <v>25144454.859999999</v>
      </c>
      <c r="AR132" s="558">
        <f t="shared" si="346"/>
        <v>23804003.899999999</v>
      </c>
      <c r="AS132" s="433">
        <f t="shared" si="374"/>
        <v>23529903.899999999</v>
      </c>
      <c r="AT132" s="433">
        <f t="shared" si="387"/>
        <v>274100</v>
      </c>
      <c r="AU132" s="433">
        <f t="shared" si="375"/>
        <v>0</v>
      </c>
      <c r="AV132" s="558">
        <f t="shared" si="349"/>
        <v>1340450.96</v>
      </c>
      <c r="AW132" s="433">
        <f t="shared" si="376"/>
        <v>1340450.96</v>
      </c>
      <c r="AX132" s="433">
        <f t="shared" si="377"/>
        <v>0</v>
      </c>
      <c r="AY132" s="433">
        <f t="shared" si="377"/>
        <v>0</v>
      </c>
      <c r="AZ132" s="740">
        <f t="shared" si="388"/>
        <v>274100</v>
      </c>
      <c r="BA132" s="740">
        <f t="shared" si="378"/>
        <v>0</v>
      </c>
      <c r="BB132" s="741">
        <f t="shared" si="389"/>
        <v>24870354.859999999</v>
      </c>
      <c r="BC132" s="739">
        <f t="shared" si="390"/>
        <v>32381202</v>
      </c>
      <c r="BD132" s="544"/>
      <c r="BE132" s="11"/>
      <c r="BF132" s="445"/>
      <c r="BG132" s="11"/>
      <c r="BH132" s="11"/>
      <c r="BI132" s="11"/>
    </row>
    <row r="133" spans="1:62">
      <c r="A133" s="11"/>
      <c r="B133" s="1132" t="s">
        <v>815</v>
      </c>
      <c r="C133" s="17"/>
      <c r="D133" s="17"/>
      <c r="E133" s="11"/>
      <c r="F133" s="11"/>
      <c r="G133" s="555"/>
      <c r="H133" s="545"/>
      <c r="I133" s="11"/>
      <c r="J133" s="11"/>
      <c r="K133" s="11"/>
      <c r="L133" s="545"/>
      <c r="M133" s="11"/>
      <c r="N133" s="862"/>
      <c r="O133" s="439"/>
      <c r="P133" s="444"/>
      <c r="Q133" s="17"/>
      <c r="R133" s="555"/>
      <c r="S133" s="555"/>
      <c r="T133" s="554"/>
      <c r="U133" s="554"/>
      <c r="V133" s="433"/>
      <c r="W133" s="433"/>
      <c r="X133" s="433"/>
      <c r="Y133" s="554"/>
      <c r="Z133" s="433"/>
      <c r="AA133" s="11"/>
      <c r="AB133" s="11"/>
      <c r="AC133" s="554"/>
      <c r="AD133" s="433"/>
      <c r="AE133" s="433"/>
      <c r="AF133" s="433"/>
      <c r="AG133" s="739"/>
      <c r="AH133" s="11"/>
      <c r="AI133" s="1084"/>
      <c r="AJ133" s="850"/>
      <c r="AK133" s="850"/>
      <c r="AL133" s="557"/>
      <c r="AM133" s="557"/>
      <c r="AN133" s="1233">
        <f>AO133-P133</f>
        <v>0</v>
      </c>
      <c r="AO133" s="1133"/>
      <c r="AP133" s="17"/>
      <c r="AQ133" s="554"/>
      <c r="AR133" s="558"/>
      <c r="AS133" s="433"/>
      <c r="AT133" s="433"/>
      <c r="AU133" s="433"/>
      <c r="AV133" s="558"/>
      <c r="AW133" s="433"/>
      <c r="AX133" s="433"/>
      <c r="AY133" s="433"/>
      <c r="AZ133" s="740"/>
      <c r="BA133" s="740"/>
      <c r="BB133" s="741"/>
      <c r="BC133" s="739"/>
      <c r="BD133" s="544"/>
      <c r="BE133" s="1045"/>
      <c r="BF133" s="445"/>
      <c r="BG133" s="1045"/>
      <c r="BH133" s="11"/>
      <c r="BI133" s="11"/>
    </row>
    <row r="134" spans="1:62" ht="19.149999999999999" customHeight="1">
      <c r="A134" s="545">
        <v>14</v>
      </c>
      <c r="B134" s="426" t="s">
        <v>207</v>
      </c>
      <c r="C134" s="545">
        <f>C135+C136+C137+C138+C139+C140+C141</f>
        <v>372.6</v>
      </c>
      <c r="D134" s="545">
        <f>D135+D136+D137+D138+D139+D140+D141</f>
        <v>4.3</v>
      </c>
      <c r="E134" s="545">
        <f>SUM(E135:E141)</f>
        <v>90071.900000000009</v>
      </c>
      <c r="F134" s="545">
        <f t="shared" ref="F134:AG134" si="391">F135+F136+F137+F138+F139+F140+F141</f>
        <v>519</v>
      </c>
      <c r="G134" s="558">
        <v>20144.91</v>
      </c>
      <c r="H134" s="545" t="e">
        <f t="shared" si="391"/>
        <v>#REF!</v>
      </c>
      <c r="I134" s="545" t="e">
        <f t="shared" si="391"/>
        <v>#REF!</v>
      </c>
      <c r="J134" s="545">
        <f t="shared" si="391"/>
        <v>0</v>
      </c>
      <c r="K134" s="545" t="e">
        <f t="shared" si="391"/>
        <v>#REF!</v>
      </c>
      <c r="L134" s="545">
        <f t="shared" si="391"/>
        <v>519</v>
      </c>
      <c r="M134" s="545">
        <f t="shared" si="391"/>
        <v>519</v>
      </c>
      <c r="N134" s="545">
        <f t="shared" si="391"/>
        <v>0</v>
      </c>
      <c r="O134" s="559">
        <f t="shared" si="391"/>
        <v>18.400000000000006</v>
      </c>
      <c r="P134" s="560">
        <f t="shared" si="391"/>
        <v>391</v>
      </c>
      <c r="Q134" s="545">
        <f t="shared" si="391"/>
        <v>3</v>
      </c>
      <c r="R134" s="558">
        <v>20144.91</v>
      </c>
      <c r="S134" s="558"/>
      <c r="T134" s="558">
        <f>SUM(T135:T141)</f>
        <v>92734689.840000004</v>
      </c>
      <c r="U134" s="558">
        <f t="shared" ref="U134:AB134" si="392">U135+U136+U137+U138+U139+U140+U141</f>
        <v>92353847.640000001</v>
      </c>
      <c r="V134" s="558">
        <f t="shared" si="392"/>
        <v>90653847.640000001</v>
      </c>
      <c r="W134" s="545">
        <f t="shared" si="392"/>
        <v>0</v>
      </c>
      <c r="X134" s="558">
        <f t="shared" si="392"/>
        <v>1700000</v>
      </c>
      <c r="Y134" s="545">
        <f t="shared" si="392"/>
        <v>380842.2</v>
      </c>
      <c r="Z134" s="545">
        <f t="shared" si="392"/>
        <v>380842.2</v>
      </c>
      <c r="AA134" s="545">
        <f t="shared" si="392"/>
        <v>0</v>
      </c>
      <c r="AB134" s="545">
        <f t="shared" si="392"/>
        <v>0</v>
      </c>
      <c r="AC134" s="558">
        <f t="shared" si="391"/>
        <v>92734689.839999989</v>
      </c>
      <c r="AD134" s="558">
        <f t="shared" si="391"/>
        <v>91034689.839999989</v>
      </c>
      <c r="AE134" s="558">
        <f t="shared" si="391"/>
        <v>0</v>
      </c>
      <c r="AF134" s="558">
        <f t="shared" si="391"/>
        <v>1700000</v>
      </c>
      <c r="AG134" s="558">
        <f t="shared" si="391"/>
        <v>118527166.17000002</v>
      </c>
      <c r="AH134" s="765">
        <f>5277154.41999999+1596845</f>
        <v>6873999.4199999897</v>
      </c>
      <c r="AI134" s="1086">
        <v>123804320.59</v>
      </c>
      <c r="AJ134" s="765">
        <f>AH134+AG134</f>
        <v>125401165.59</v>
      </c>
      <c r="AK134" s="876">
        <f>AJ134-AI134</f>
        <v>1596845</v>
      </c>
      <c r="AL134" s="563">
        <v>20144.91</v>
      </c>
      <c r="AM134" s="563">
        <f t="shared" si="226"/>
        <v>0</v>
      </c>
      <c r="AN134" s="558">
        <f>AN135+AN136+AN137+AN138+AN139+AN140+AN141</f>
        <v>17</v>
      </c>
      <c r="AO134" s="558">
        <f>AO135+AO136+AO137+AO138+AO139+AO140+AO141</f>
        <v>408</v>
      </c>
      <c r="AP134" s="558">
        <f t="shared" ref="AP134:BC134" si="393">AP135+AP136+AP137+AP138+AP139+AP140+AP141</f>
        <v>3</v>
      </c>
      <c r="AQ134" s="558">
        <f>SUM(AQ135:AQ141)</f>
        <v>94784749.099999994</v>
      </c>
      <c r="AR134" s="558">
        <f t="shared" si="346"/>
        <v>98629479.400000006</v>
      </c>
      <c r="AS134" s="558">
        <f t="shared" si="393"/>
        <v>92703906.900000006</v>
      </c>
      <c r="AT134" s="558">
        <f t="shared" si="393"/>
        <v>0</v>
      </c>
      <c r="AU134" s="558">
        <f t="shared" si="393"/>
        <v>1700000</v>
      </c>
      <c r="AV134" s="558">
        <f t="shared" si="349"/>
        <v>0</v>
      </c>
      <c r="AW134" s="558">
        <f>AW135+AW136+AW137+AW138+AW139+AW140+AW141</f>
        <v>380842.2</v>
      </c>
      <c r="AX134" s="558">
        <f t="shared" si="393"/>
        <v>0</v>
      </c>
      <c r="AY134" s="558">
        <f t="shared" si="393"/>
        <v>0</v>
      </c>
      <c r="AZ134" s="558">
        <f t="shared" si="393"/>
        <v>0</v>
      </c>
      <c r="BA134" s="558">
        <f t="shared" si="393"/>
        <v>1700000</v>
      </c>
      <c r="BB134" s="558">
        <f t="shared" si="393"/>
        <v>93084749.099999994</v>
      </c>
      <c r="BC134" s="558">
        <f t="shared" si="393"/>
        <v>121196343.30000001</v>
      </c>
      <c r="BD134" s="558">
        <v>7117812</v>
      </c>
      <c r="BE134" s="564">
        <f>BD134+BC134</f>
        <v>128314155.30000001</v>
      </c>
      <c r="BF134" s="562">
        <v>123804320.59</v>
      </c>
      <c r="BG134" s="731">
        <f>BE134-BF134</f>
        <v>4509834.7100000083</v>
      </c>
      <c r="BH134" s="876">
        <f>AG134+AH134</f>
        <v>125401165.59</v>
      </c>
      <c r="BI134" s="876">
        <f>BH134-AI134</f>
        <v>1596845</v>
      </c>
    </row>
    <row r="135" spans="1:62">
      <c r="A135" s="11">
        <v>1</v>
      </c>
      <c r="B135" s="13" t="s">
        <v>71</v>
      </c>
      <c r="C135" s="17">
        <v>4</v>
      </c>
      <c r="D135" s="17"/>
      <c r="E135" s="11">
        <v>2659.8</v>
      </c>
      <c r="F135" s="11"/>
      <c r="G135" s="555">
        <v>55412.5</v>
      </c>
      <c r="H135" s="545" t="e">
        <f>I135+J135+K135</f>
        <v>#REF!</v>
      </c>
      <c r="I135" s="11" t="e">
        <f t="shared" ref="I135:I141" si="394">E135-K135-J135</f>
        <v>#REF!</v>
      </c>
      <c r="J135" s="11"/>
      <c r="K135" s="11" t="e">
        <f>'[5]Смарт 2015'!G259</f>
        <v>#REF!</v>
      </c>
      <c r="L135" s="545">
        <f t="shared" ref="L135:L141" si="395">M135+N135</f>
        <v>0</v>
      </c>
      <c r="M135" s="11">
        <f>F135-N135</f>
        <v>0</v>
      </c>
      <c r="N135" s="11"/>
      <c r="O135" s="861">
        <f>P135-C135</f>
        <v>0</v>
      </c>
      <c r="P135" s="444">
        <v>4</v>
      </c>
      <c r="Q135" s="17"/>
      <c r="R135" s="555">
        <v>55412.5</v>
      </c>
      <c r="S135" s="555"/>
      <c r="T135" s="554">
        <f>U135+Y135</f>
        <v>2659800</v>
      </c>
      <c r="U135" s="554">
        <f t="shared" ref="U135:U141" si="396">ROUND(R135*P135*12,2)</f>
        <v>2659800</v>
      </c>
      <c r="V135" s="433">
        <f t="shared" ref="V135:V141" si="397">U135-W135-X135</f>
        <v>2659800</v>
      </c>
      <c r="W135" s="11"/>
      <c r="X135" s="433"/>
      <c r="Y135" s="556">
        <f t="shared" ref="Y135:Y141" si="398">ROUND(S135*Q135*12,2)</f>
        <v>0</v>
      </c>
      <c r="Z135" s="11">
        <f t="shared" ref="Z135:Z141" si="399">Y135-AA135-AB135</f>
        <v>0</v>
      </c>
      <c r="AA135" s="11"/>
      <c r="AB135" s="11"/>
      <c r="AC135" s="554">
        <f t="shared" ref="AC135:AC141" si="400">AD135+AE135+AF135</f>
        <v>2659800</v>
      </c>
      <c r="AD135" s="433">
        <f t="shared" ref="AD135:AD141" si="401">ROUND((Z135+V135),2)</f>
        <v>2659800</v>
      </c>
      <c r="AE135" s="433">
        <f t="shared" ref="AE135:AF141" si="402">AA135+W135</f>
        <v>0</v>
      </c>
      <c r="AF135" s="433">
        <f t="shared" si="402"/>
        <v>0</v>
      </c>
      <c r="AG135" s="739">
        <f t="shared" ref="AG135:AG141" si="403">ROUND(AD135*1.302,2)</f>
        <v>3463059.6</v>
      </c>
      <c r="AH135" s="873">
        <v>6874000</v>
      </c>
      <c r="AI135" s="1097" t="s">
        <v>708</v>
      </c>
      <c r="AJ135" s="1100"/>
      <c r="AK135" s="1100"/>
      <c r="AL135" s="557">
        <v>55412.5</v>
      </c>
      <c r="AM135" s="557">
        <f t="shared" si="226"/>
        <v>0</v>
      </c>
      <c r="AN135" s="1233"/>
      <c r="AO135" s="743">
        <v>4</v>
      </c>
      <c r="AP135" s="743"/>
      <c r="AQ135" s="554">
        <f>AR135+AV135</f>
        <v>2659800</v>
      </c>
      <c r="AR135" s="558">
        <f t="shared" si="346"/>
        <v>2659800</v>
      </c>
      <c r="AS135" s="433">
        <f t="shared" ref="AS135:AS141" si="404">AR135-AT135-AU135</f>
        <v>2659800</v>
      </c>
      <c r="AT135" s="433">
        <f>W135</f>
        <v>0</v>
      </c>
      <c r="AU135" s="433">
        <f t="shared" ref="AU135:AU141" si="405">X135</f>
        <v>0</v>
      </c>
      <c r="AV135" s="558">
        <f t="shared" si="349"/>
        <v>0</v>
      </c>
      <c r="AW135" s="433">
        <f t="shared" ref="AW135:AW141" si="406">AV135-AX135-AY135</f>
        <v>0</v>
      </c>
      <c r="AX135" s="433">
        <f t="shared" ref="AX135:AY141" si="407">AA135</f>
        <v>0</v>
      </c>
      <c r="AY135" s="433">
        <f t="shared" si="407"/>
        <v>0</v>
      </c>
      <c r="AZ135" s="740">
        <f>AX135+AT135</f>
        <v>0</v>
      </c>
      <c r="BA135" s="740">
        <f t="shared" ref="BA135:BA141" si="408">AY135+AU135</f>
        <v>0</v>
      </c>
      <c r="BB135" s="741">
        <f>AW135+AS135</f>
        <v>2659800</v>
      </c>
      <c r="BC135" s="739">
        <f>ROUND(BB135*1.302,1)</f>
        <v>3463059.6</v>
      </c>
      <c r="BD135" s="739"/>
      <c r="BE135" s="433"/>
      <c r="BF135" s="742"/>
      <c r="BG135" s="433"/>
      <c r="BH135" s="433"/>
      <c r="BI135" s="11"/>
    </row>
    <row r="136" spans="1:62">
      <c r="A136" s="11">
        <v>2</v>
      </c>
      <c r="B136" s="13" t="s">
        <v>72</v>
      </c>
      <c r="C136" s="17">
        <v>28</v>
      </c>
      <c r="D136" s="17">
        <v>0</v>
      </c>
      <c r="E136" s="11">
        <v>15497</v>
      </c>
      <c r="F136" s="11"/>
      <c r="G136" s="555">
        <v>46122.02</v>
      </c>
      <c r="H136" s="545">
        <f t="shared" ref="H136:H141" si="409">I136+J136+K136</f>
        <v>15497</v>
      </c>
      <c r="I136" s="11">
        <f t="shared" si="394"/>
        <v>15497</v>
      </c>
      <c r="J136" s="11"/>
      <c r="K136" s="11"/>
      <c r="L136" s="545">
        <f t="shared" si="395"/>
        <v>0</v>
      </c>
      <c r="M136" s="11">
        <f t="shared" ref="M136:M141" si="410">F136-N136</f>
        <v>0</v>
      </c>
      <c r="N136" s="11"/>
      <c r="O136" s="861">
        <f t="shared" ref="O136:O141" si="411">P136-C136</f>
        <v>0</v>
      </c>
      <c r="P136" s="444">
        <v>28</v>
      </c>
      <c r="Q136" s="17"/>
      <c r="R136" s="555">
        <v>46122.02</v>
      </c>
      <c r="S136" s="555"/>
      <c r="T136" s="554">
        <f t="shared" ref="T136:T141" si="412">U136+Y136</f>
        <v>15496998.720000001</v>
      </c>
      <c r="U136" s="554">
        <f t="shared" si="396"/>
        <v>15496998.720000001</v>
      </c>
      <c r="V136" s="433">
        <f t="shared" si="397"/>
        <v>15496998.720000001</v>
      </c>
      <c r="W136" s="11"/>
      <c r="X136" s="433"/>
      <c r="Y136" s="556">
        <f t="shared" si="398"/>
        <v>0</v>
      </c>
      <c r="Z136" s="11">
        <f t="shared" si="399"/>
        <v>0</v>
      </c>
      <c r="AA136" s="11"/>
      <c r="AB136" s="11"/>
      <c r="AC136" s="554">
        <f t="shared" si="400"/>
        <v>15496998.720000001</v>
      </c>
      <c r="AD136" s="433">
        <f t="shared" si="401"/>
        <v>15496998.720000001</v>
      </c>
      <c r="AE136" s="433">
        <f t="shared" si="402"/>
        <v>0</v>
      </c>
      <c r="AF136" s="433">
        <f t="shared" si="402"/>
        <v>0</v>
      </c>
      <c r="AG136" s="739">
        <f t="shared" si="403"/>
        <v>20177092.329999998</v>
      </c>
      <c r="AH136" s="433">
        <f>AH135-AH134</f>
        <v>0.58000001031905413</v>
      </c>
      <c r="AI136" s="1003"/>
      <c r="AJ136" s="1004"/>
      <c r="AK136" s="1004"/>
      <c r="AL136" s="557">
        <v>46122.02</v>
      </c>
      <c r="AM136" s="557">
        <f t="shared" si="226"/>
        <v>0</v>
      </c>
      <c r="AN136" s="1233"/>
      <c r="AO136" s="743">
        <v>28</v>
      </c>
      <c r="AP136" s="743"/>
      <c r="AQ136" s="554">
        <f t="shared" ref="AQ136:AQ141" si="413">AR136+AV136</f>
        <v>15496998.699999999</v>
      </c>
      <c r="AR136" s="558">
        <f t="shared" si="346"/>
        <v>15496998.699999999</v>
      </c>
      <c r="AS136" s="433">
        <f t="shared" si="404"/>
        <v>15496998.699999999</v>
      </c>
      <c r="AT136" s="433">
        <f t="shared" ref="AT136:AT141" si="414">W136</f>
        <v>0</v>
      </c>
      <c r="AU136" s="433">
        <f t="shared" si="405"/>
        <v>0</v>
      </c>
      <c r="AV136" s="558">
        <f t="shared" si="349"/>
        <v>0</v>
      </c>
      <c r="AW136" s="433">
        <f t="shared" si="406"/>
        <v>0</v>
      </c>
      <c r="AX136" s="433">
        <f t="shared" si="407"/>
        <v>0</v>
      </c>
      <c r="AY136" s="433">
        <f t="shared" si="407"/>
        <v>0</v>
      </c>
      <c r="AZ136" s="740">
        <f t="shared" ref="AZ136:AZ141" si="415">AX136+AT136</f>
        <v>0</v>
      </c>
      <c r="BA136" s="740">
        <f t="shared" si="408"/>
        <v>0</v>
      </c>
      <c r="BB136" s="741">
        <f t="shared" ref="BB136:BB141" si="416">AW136+AS136</f>
        <v>15496998.699999999</v>
      </c>
      <c r="BC136" s="739">
        <f t="shared" ref="BC136:BC141" si="417">ROUND(BB136*1.302,1)</f>
        <v>20177092.300000001</v>
      </c>
      <c r="BD136" s="739"/>
      <c r="BE136" s="433"/>
      <c r="BF136" s="742"/>
      <c r="BG136" s="433"/>
      <c r="BH136" s="433"/>
      <c r="BI136" s="11"/>
    </row>
    <row r="137" spans="1:62">
      <c r="A137" s="11">
        <v>3</v>
      </c>
      <c r="B137" s="14" t="s">
        <v>76</v>
      </c>
      <c r="C137" s="17">
        <v>195.6</v>
      </c>
      <c r="D137" s="17">
        <v>3.8</v>
      </c>
      <c r="E137" s="11">
        <v>54429.3</v>
      </c>
      <c r="F137" s="11">
        <v>482.4</v>
      </c>
      <c r="G137" s="29">
        <v>23189.03</v>
      </c>
      <c r="H137" s="545">
        <f t="shared" si="409"/>
        <v>54429.3</v>
      </c>
      <c r="I137" s="11">
        <f t="shared" si="394"/>
        <v>53264.3</v>
      </c>
      <c r="J137" s="11"/>
      <c r="K137" s="11">
        <v>1165</v>
      </c>
      <c r="L137" s="545">
        <f t="shared" si="395"/>
        <v>482.4</v>
      </c>
      <c r="M137" s="11">
        <f t="shared" si="410"/>
        <v>482.4</v>
      </c>
      <c r="N137" s="11"/>
      <c r="O137" s="861">
        <f t="shared" si="411"/>
        <v>0.40000000000000568</v>
      </c>
      <c r="P137" s="444">
        <v>196</v>
      </c>
      <c r="Q137" s="17">
        <v>3</v>
      </c>
      <c r="R137" s="29">
        <v>23189.03</v>
      </c>
      <c r="S137" s="555">
        <f>ROUND(F137/D137/12*1000,2)</f>
        <v>10578.95</v>
      </c>
      <c r="T137" s="554">
        <f t="shared" si="412"/>
        <v>54921440.760000005</v>
      </c>
      <c r="U137" s="554">
        <f t="shared" si="396"/>
        <v>54540598.560000002</v>
      </c>
      <c r="V137" s="433">
        <f t="shared" si="397"/>
        <v>52840598.560000002</v>
      </c>
      <c r="W137" s="11"/>
      <c r="X137" s="433">
        <v>1700000</v>
      </c>
      <c r="Y137" s="556">
        <f t="shared" si="398"/>
        <v>380842.2</v>
      </c>
      <c r="Z137" s="11">
        <f t="shared" si="399"/>
        <v>380842.2</v>
      </c>
      <c r="AA137" s="11"/>
      <c r="AB137" s="11"/>
      <c r="AC137" s="554">
        <f t="shared" si="400"/>
        <v>54921440.759999998</v>
      </c>
      <c r="AD137" s="433">
        <f t="shared" si="401"/>
        <v>53221440.759999998</v>
      </c>
      <c r="AE137" s="433">
        <f t="shared" si="402"/>
        <v>0</v>
      </c>
      <c r="AF137" s="433">
        <f t="shared" si="402"/>
        <v>1700000</v>
      </c>
      <c r="AG137" s="739">
        <f t="shared" si="403"/>
        <v>69294315.870000005</v>
      </c>
      <c r="AH137" s="433"/>
      <c r="AI137" s="1003"/>
      <c r="AJ137" s="1004"/>
      <c r="AK137" s="1004"/>
      <c r="AL137" s="440">
        <v>23189.03</v>
      </c>
      <c r="AM137" s="557">
        <f t="shared" si="226"/>
        <v>10578.95</v>
      </c>
      <c r="AN137" s="1233"/>
      <c r="AO137" s="743">
        <v>196</v>
      </c>
      <c r="AP137" s="743">
        <v>3</v>
      </c>
      <c r="AQ137" s="554">
        <f t="shared" si="413"/>
        <v>54921440.800000004</v>
      </c>
      <c r="AR137" s="558">
        <f t="shared" si="346"/>
        <v>54540598.600000001</v>
      </c>
      <c r="AS137" s="433">
        <f t="shared" si="404"/>
        <v>52840598.600000001</v>
      </c>
      <c r="AT137" s="433">
        <f t="shared" si="414"/>
        <v>0</v>
      </c>
      <c r="AU137" s="433">
        <f t="shared" si="405"/>
        <v>1700000</v>
      </c>
      <c r="AV137" s="558">
        <f t="shared" si="349"/>
        <v>380842.2</v>
      </c>
      <c r="AW137" s="433">
        <f t="shared" si="406"/>
        <v>380842.2</v>
      </c>
      <c r="AX137" s="433">
        <f t="shared" si="407"/>
        <v>0</v>
      </c>
      <c r="AY137" s="433">
        <f t="shared" si="407"/>
        <v>0</v>
      </c>
      <c r="AZ137" s="740">
        <f t="shared" si="415"/>
        <v>0</v>
      </c>
      <c r="BA137" s="740">
        <f t="shared" si="408"/>
        <v>1700000</v>
      </c>
      <c r="BB137" s="741">
        <f t="shared" si="416"/>
        <v>53221440.800000004</v>
      </c>
      <c r="BC137" s="739">
        <f t="shared" si="417"/>
        <v>69294315.900000006</v>
      </c>
      <c r="BD137" s="739"/>
      <c r="BE137" s="433"/>
      <c r="BF137" s="742"/>
      <c r="BG137" s="433"/>
      <c r="BH137" s="433"/>
      <c r="BI137" s="11"/>
    </row>
    <row r="138" spans="1:62">
      <c r="A138" s="11">
        <v>4</v>
      </c>
      <c r="B138" s="14" t="s">
        <v>77</v>
      </c>
      <c r="C138" s="17"/>
      <c r="D138" s="17"/>
      <c r="E138" s="11"/>
      <c r="F138" s="11"/>
      <c r="G138" s="555"/>
      <c r="H138" s="545" t="e">
        <f t="shared" si="409"/>
        <v>#REF!</v>
      </c>
      <c r="I138" s="11" t="e">
        <f t="shared" si="394"/>
        <v>#REF!</v>
      </c>
      <c r="J138" s="11"/>
      <c r="K138" s="11" t="e">
        <f>'[5]Смарт 2015'!G258</f>
        <v>#REF!</v>
      </c>
      <c r="L138" s="545">
        <f t="shared" si="395"/>
        <v>0</v>
      </c>
      <c r="M138" s="11">
        <f t="shared" si="410"/>
        <v>0</v>
      </c>
      <c r="N138" s="11"/>
      <c r="O138" s="861">
        <f t="shared" si="411"/>
        <v>0</v>
      </c>
      <c r="P138" s="444"/>
      <c r="Q138" s="17"/>
      <c r="R138" s="555"/>
      <c r="S138" s="555"/>
      <c r="T138" s="554">
        <f t="shared" si="412"/>
        <v>0</v>
      </c>
      <c r="U138" s="554">
        <f t="shared" si="396"/>
        <v>0</v>
      </c>
      <c r="V138" s="433">
        <f t="shared" si="397"/>
        <v>0</v>
      </c>
      <c r="W138" s="11"/>
      <c r="X138" s="433"/>
      <c r="Y138" s="556">
        <f t="shared" si="398"/>
        <v>0</v>
      </c>
      <c r="Z138" s="11">
        <f t="shared" si="399"/>
        <v>0</v>
      </c>
      <c r="AA138" s="11"/>
      <c r="AB138" s="11"/>
      <c r="AC138" s="554">
        <f t="shared" si="400"/>
        <v>0</v>
      </c>
      <c r="AD138" s="433">
        <f t="shared" si="401"/>
        <v>0</v>
      </c>
      <c r="AE138" s="433">
        <f t="shared" si="402"/>
        <v>0</v>
      </c>
      <c r="AF138" s="433">
        <f t="shared" si="402"/>
        <v>0</v>
      </c>
      <c r="AG138" s="739">
        <f t="shared" si="403"/>
        <v>0</v>
      </c>
      <c r="AH138" s="433"/>
      <c r="AI138" s="1003"/>
      <c r="AJ138" s="1004"/>
      <c r="AK138" s="1004"/>
      <c r="AL138" s="557"/>
      <c r="AM138" s="557">
        <f t="shared" si="226"/>
        <v>0</v>
      </c>
      <c r="AN138" s="1233"/>
      <c r="AO138" s="743"/>
      <c r="AP138" s="743"/>
      <c r="AQ138" s="554">
        <f t="shared" si="413"/>
        <v>0</v>
      </c>
      <c r="AR138" s="558">
        <f t="shared" si="346"/>
        <v>0</v>
      </c>
      <c r="AS138" s="433">
        <f t="shared" si="404"/>
        <v>0</v>
      </c>
      <c r="AT138" s="433">
        <f t="shared" si="414"/>
        <v>0</v>
      </c>
      <c r="AU138" s="433">
        <f t="shared" si="405"/>
        <v>0</v>
      </c>
      <c r="AV138" s="558">
        <f t="shared" si="349"/>
        <v>0</v>
      </c>
      <c r="AW138" s="433">
        <f t="shared" si="406"/>
        <v>0</v>
      </c>
      <c r="AX138" s="433">
        <f t="shared" si="407"/>
        <v>0</v>
      </c>
      <c r="AY138" s="433">
        <f t="shared" si="407"/>
        <v>0</v>
      </c>
      <c r="AZ138" s="740">
        <f t="shared" si="415"/>
        <v>0</v>
      </c>
      <c r="BA138" s="740">
        <f t="shared" si="408"/>
        <v>0</v>
      </c>
      <c r="BB138" s="741">
        <f t="shared" si="416"/>
        <v>0</v>
      </c>
      <c r="BC138" s="739">
        <f t="shared" si="417"/>
        <v>0</v>
      </c>
      <c r="BD138" s="739"/>
      <c r="BE138" s="433"/>
      <c r="BF138" s="742"/>
      <c r="BG138" s="433"/>
      <c r="BH138" s="433"/>
      <c r="BI138" s="11"/>
    </row>
    <row r="139" spans="1:62">
      <c r="A139" s="11">
        <v>5</v>
      </c>
      <c r="B139" s="13" t="s">
        <v>73</v>
      </c>
      <c r="C139" s="17"/>
      <c r="D139" s="17"/>
      <c r="E139" s="11"/>
      <c r="F139" s="11"/>
      <c r="G139" s="555"/>
      <c r="H139" s="545">
        <f t="shared" si="409"/>
        <v>0</v>
      </c>
      <c r="I139" s="11">
        <f t="shared" si="394"/>
        <v>0</v>
      </c>
      <c r="J139" s="11"/>
      <c r="K139" s="11"/>
      <c r="L139" s="545">
        <f t="shared" si="395"/>
        <v>0</v>
      </c>
      <c r="M139" s="11">
        <f t="shared" si="410"/>
        <v>0</v>
      </c>
      <c r="N139" s="11"/>
      <c r="O139" s="861">
        <f t="shared" si="411"/>
        <v>0</v>
      </c>
      <c r="P139" s="444"/>
      <c r="Q139" s="17"/>
      <c r="R139" s="555"/>
      <c r="S139" s="555"/>
      <c r="T139" s="554">
        <f t="shared" si="412"/>
        <v>0</v>
      </c>
      <c r="U139" s="554">
        <f t="shared" si="396"/>
        <v>0</v>
      </c>
      <c r="V139" s="433">
        <f t="shared" si="397"/>
        <v>0</v>
      </c>
      <c r="W139" s="11"/>
      <c r="X139" s="433"/>
      <c r="Y139" s="556">
        <f t="shared" si="398"/>
        <v>0</v>
      </c>
      <c r="Z139" s="11">
        <f t="shared" si="399"/>
        <v>0</v>
      </c>
      <c r="AA139" s="11"/>
      <c r="AB139" s="11"/>
      <c r="AC139" s="554">
        <f t="shared" si="400"/>
        <v>0</v>
      </c>
      <c r="AD139" s="433">
        <f t="shared" si="401"/>
        <v>0</v>
      </c>
      <c r="AE139" s="433">
        <f t="shared" si="402"/>
        <v>0</v>
      </c>
      <c r="AF139" s="433">
        <f t="shared" si="402"/>
        <v>0</v>
      </c>
      <c r="AG139" s="739">
        <f t="shared" si="403"/>
        <v>0</v>
      </c>
      <c r="AH139" s="433"/>
      <c r="AI139" s="1003"/>
      <c r="AJ139" s="1004"/>
      <c r="AK139" s="1004"/>
      <c r="AL139" s="557"/>
      <c r="AM139" s="557">
        <f t="shared" si="226"/>
        <v>0</v>
      </c>
      <c r="AN139" s="1233"/>
      <c r="AO139" s="743"/>
      <c r="AP139" s="743"/>
      <c r="AQ139" s="554">
        <f t="shared" si="413"/>
        <v>0</v>
      </c>
      <c r="AR139" s="558">
        <f t="shared" si="346"/>
        <v>0</v>
      </c>
      <c r="AS139" s="433">
        <f t="shared" si="404"/>
        <v>0</v>
      </c>
      <c r="AT139" s="433">
        <f t="shared" si="414"/>
        <v>0</v>
      </c>
      <c r="AU139" s="433">
        <f t="shared" si="405"/>
        <v>0</v>
      </c>
      <c r="AV139" s="558">
        <f t="shared" si="349"/>
        <v>0</v>
      </c>
      <c r="AW139" s="433">
        <f t="shared" si="406"/>
        <v>0</v>
      </c>
      <c r="AX139" s="433">
        <f t="shared" si="407"/>
        <v>0</v>
      </c>
      <c r="AY139" s="433">
        <f t="shared" si="407"/>
        <v>0</v>
      </c>
      <c r="AZ139" s="740">
        <f t="shared" si="415"/>
        <v>0</v>
      </c>
      <c r="BA139" s="740">
        <f t="shared" si="408"/>
        <v>0</v>
      </c>
      <c r="BB139" s="741">
        <f t="shared" si="416"/>
        <v>0</v>
      </c>
      <c r="BC139" s="739">
        <f t="shared" si="417"/>
        <v>0</v>
      </c>
      <c r="BD139" s="739"/>
      <c r="BE139" s="433"/>
      <c r="BF139" s="742"/>
      <c r="BG139" s="433"/>
      <c r="BH139" s="433"/>
      <c r="BI139" s="11"/>
    </row>
    <row r="140" spans="1:62">
      <c r="A140" s="11">
        <v>6</v>
      </c>
      <c r="B140" s="13" t="s">
        <v>74</v>
      </c>
      <c r="C140" s="17"/>
      <c r="D140" s="17"/>
      <c r="E140" s="11"/>
      <c r="F140" s="11"/>
      <c r="G140" s="555"/>
      <c r="H140" s="545">
        <f t="shared" si="409"/>
        <v>0</v>
      </c>
      <c r="I140" s="11">
        <f t="shared" si="394"/>
        <v>0</v>
      </c>
      <c r="J140" s="11"/>
      <c r="K140" s="11"/>
      <c r="L140" s="545">
        <f t="shared" si="395"/>
        <v>0</v>
      </c>
      <c r="M140" s="11">
        <f t="shared" si="410"/>
        <v>0</v>
      </c>
      <c r="N140" s="11"/>
      <c r="O140" s="861">
        <f t="shared" si="411"/>
        <v>0</v>
      </c>
      <c r="P140" s="444"/>
      <c r="Q140" s="17"/>
      <c r="R140" s="555"/>
      <c r="S140" s="555"/>
      <c r="T140" s="554">
        <f t="shared" si="412"/>
        <v>0</v>
      </c>
      <c r="U140" s="554">
        <f t="shared" si="396"/>
        <v>0</v>
      </c>
      <c r="V140" s="433">
        <f t="shared" si="397"/>
        <v>0</v>
      </c>
      <c r="W140" s="11"/>
      <c r="X140" s="433"/>
      <c r="Y140" s="556">
        <f t="shared" si="398"/>
        <v>0</v>
      </c>
      <c r="Z140" s="11">
        <f t="shared" si="399"/>
        <v>0</v>
      </c>
      <c r="AA140" s="11"/>
      <c r="AB140" s="11"/>
      <c r="AC140" s="554">
        <f t="shared" si="400"/>
        <v>0</v>
      </c>
      <c r="AD140" s="433">
        <f t="shared" si="401"/>
        <v>0</v>
      </c>
      <c r="AE140" s="433">
        <f t="shared" si="402"/>
        <v>0</v>
      </c>
      <c r="AF140" s="433">
        <f t="shared" si="402"/>
        <v>0</v>
      </c>
      <c r="AG140" s="739">
        <f t="shared" si="403"/>
        <v>0</v>
      </c>
      <c r="AH140" s="433"/>
      <c r="AI140" s="1003"/>
      <c r="AJ140" s="1004"/>
      <c r="AK140" s="1004"/>
      <c r="AL140" s="557"/>
      <c r="AM140" s="557">
        <f t="shared" si="226"/>
        <v>0</v>
      </c>
      <c r="AN140" s="1233"/>
      <c r="AO140" s="743"/>
      <c r="AP140" s="743"/>
      <c r="AQ140" s="554">
        <f t="shared" si="413"/>
        <v>0</v>
      </c>
      <c r="AR140" s="558">
        <f t="shared" si="346"/>
        <v>0</v>
      </c>
      <c r="AS140" s="433">
        <f t="shared" si="404"/>
        <v>0</v>
      </c>
      <c r="AT140" s="433">
        <f t="shared" si="414"/>
        <v>0</v>
      </c>
      <c r="AU140" s="433">
        <f t="shared" si="405"/>
        <v>0</v>
      </c>
      <c r="AV140" s="558">
        <f t="shared" si="349"/>
        <v>0</v>
      </c>
      <c r="AW140" s="433">
        <f t="shared" si="406"/>
        <v>0</v>
      </c>
      <c r="AX140" s="433">
        <f t="shared" si="407"/>
        <v>0</v>
      </c>
      <c r="AY140" s="433">
        <f t="shared" si="407"/>
        <v>0</v>
      </c>
      <c r="AZ140" s="740">
        <f t="shared" si="415"/>
        <v>0</v>
      </c>
      <c r="BA140" s="740">
        <f t="shared" si="408"/>
        <v>0</v>
      </c>
      <c r="BB140" s="741">
        <f t="shared" si="416"/>
        <v>0</v>
      </c>
      <c r="BC140" s="739">
        <f t="shared" si="417"/>
        <v>0</v>
      </c>
      <c r="BD140" s="739"/>
      <c r="BE140" s="433"/>
      <c r="BF140" s="742"/>
      <c r="BG140" s="433"/>
      <c r="BH140" s="433"/>
      <c r="BI140" s="11"/>
    </row>
    <row r="141" spans="1:62">
      <c r="A141" s="11">
        <v>7</v>
      </c>
      <c r="B141" s="1131" t="s">
        <v>814</v>
      </c>
      <c r="C141" s="17">
        <v>145</v>
      </c>
      <c r="D141" s="17">
        <v>0.5</v>
      </c>
      <c r="E141" s="11">
        <v>17485.8</v>
      </c>
      <c r="F141" s="11">
        <v>36.6</v>
      </c>
      <c r="G141" s="555">
        <v>10049.31</v>
      </c>
      <c r="H141" s="545">
        <f t="shared" si="409"/>
        <v>17485.8</v>
      </c>
      <c r="I141" s="11">
        <f t="shared" si="394"/>
        <v>17485.8</v>
      </c>
      <c r="J141" s="11"/>
      <c r="K141" s="11"/>
      <c r="L141" s="545">
        <f t="shared" si="395"/>
        <v>36.6</v>
      </c>
      <c r="M141" s="11">
        <f t="shared" si="410"/>
        <v>36.6</v>
      </c>
      <c r="N141" s="11"/>
      <c r="O141" s="899">
        <f t="shared" si="411"/>
        <v>18</v>
      </c>
      <c r="P141" s="879">
        <v>163</v>
      </c>
      <c r="Q141" s="17"/>
      <c r="R141" s="555">
        <v>10049.31</v>
      </c>
      <c r="S141" s="555">
        <f>ROUND(F141/D141/12*1000,2)</f>
        <v>6100</v>
      </c>
      <c r="T141" s="554">
        <f t="shared" si="412"/>
        <v>19656450.359999999</v>
      </c>
      <c r="U141" s="554">
        <f t="shared" si="396"/>
        <v>19656450.359999999</v>
      </c>
      <c r="V141" s="433">
        <f t="shared" si="397"/>
        <v>19656450.359999999</v>
      </c>
      <c r="W141" s="11"/>
      <c r="X141" s="433"/>
      <c r="Y141" s="556">
        <f t="shared" si="398"/>
        <v>0</v>
      </c>
      <c r="Z141" s="11">
        <f t="shared" si="399"/>
        <v>0</v>
      </c>
      <c r="AA141" s="11"/>
      <c r="AB141" s="11"/>
      <c r="AC141" s="554">
        <f t="shared" si="400"/>
        <v>19656450.359999999</v>
      </c>
      <c r="AD141" s="433">
        <f t="shared" si="401"/>
        <v>19656450.359999999</v>
      </c>
      <c r="AE141" s="433">
        <f t="shared" si="402"/>
        <v>0</v>
      </c>
      <c r="AF141" s="433">
        <f t="shared" si="402"/>
        <v>0</v>
      </c>
      <c r="AG141" s="739">
        <f t="shared" si="403"/>
        <v>25592698.370000001</v>
      </c>
      <c r="AH141" s="433"/>
      <c r="AI141" s="1003"/>
      <c r="AJ141" s="1004"/>
      <c r="AK141" s="1004"/>
      <c r="AL141" s="557">
        <v>10049.31</v>
      </c>
      <c r="AM141" s="557">
        <f t="shared" si="226"/>
        <v>6100</v>
      </c>
      <c r="AN141" s="1233">
        <f>AO141-P141</f>
        <v>17</v>
      </c>
      <c r="AO141" s="743">
        <v>180</v>
      </c>
      <c r="AP141" s="743"/>
      <c r="AQ141" s="554">
        <f t="shared" si="413"/>
        <v>21706509.600000001</v>
      </c>
      <c r="AR141" s="558">
        <f t="shared" si="346"/>
        <v>21706509.600000001</v>
      </c>
      <c r="AS141" s="433">
        <f t="shared" si="404"/>
        <v>21706509.600000001</v>
      </c>
      <c r="AT141" s="433">
        <f t="shared" si="414"/>
        <v>0</v>
      </c>
      <c r="AU141" s="433">
        <f t="shared" si="405"/>
        <v>0</v>
      </c>
      <c r="AV141" s="558">
        <f t="shared" si="349"/>
        <v>0</v>
      </c>
      <c r="AW141" s="433">
        <f t="shared" si="406"/>
        <v>0</v>
      </c>
      <c r="AX141" s="433">
        <f t="shared" si="407"/>
        <v>0</v>
      </c>
      <c r="AY141" s="433">
        <f t="shared" si="407"/>
        <v>0</v>
      </c>
      <c r="AZ141" s="740">
        <f t="shared" si="415"/>
        <v>0</v>
      </c>
      <c r="BA141" s="740">
        <f t="shared" si="408"/>
        <v>0</v>
      </c>
      <c r="BB141" s="741">
        <f t="shared" si="416"/>
        <v>21706509.600000001</v>
      </c>
      <c r="BC141" s="739">
        <f t="shared" si="417"/>
        <v>28261875.5</v>
      </c>
      <c r="BD141" s="739"/>
      <c r="BE141" s="433"/>
      <c r="BF141" s="742"/>
      <c r="BG141" s="433"/>
      <c r="BH141" s="433"/>
      <c r="BI141" s="11"/>
    </row>
    <row r="142" spans="1:62">
      <c r="A142" s="11"/>
      <c r="B142" s="1132" t="s">
        <v>815</v>
      </c>
      <c r="C142" s="17"/>
      <c r="D142" s="17"/>
      <c r="E142" s="11"/>
      <c r="F142" s="11"/>
      <c r="G142" s="555"/>
      <c r="H142" s="545"/>
      <c r="I142" s="11"/>
      <c r="J142" s="11"/>
      <c r="K142" s="11"/>
      <c r="L142" s="545"/>
      <c r="M142" s="11"/>
      <c r="N142" s="11"/>
      <c r="O142" s="899"/>
      <c r="P142" s="879"/>
      <c r="Q142" s="17"/>
      <c r="R142" s="555"/>
      <c r="S142" s="555"/>
      <c r="T142" s="554"/>
      <c r="U142" s="554"/>
      <c r="V142" s="433"/>
      <c r="W142" s="11"/>
      <c r="X142" s="433"/>
      <c r="Y142" s="556"/>
      <c r="Z142" s="11"/>
      <c r="AA142" s="11"/>
      <c r="AB142" s="11"/>
      <c r="AC142" s="554"/>
      <c r="AD142" s="433"/>
      <c r="AE142" s="433"/>
      <c r="AF142" s="433"/>
      <c r="AG142" s="739"/>
      <c r="AH142" s="433"/>
      <c r="AI142" s="1003"/>
      <c r="AJ142" s="1004"/>
      <c r="AK142" s="1004"/>
      <c r="AL142" s="557"/>
      <c r="AM142" s="557"/>
      <c r="AN142" s="1233"/>
      <c r="AO142" s="743"/>
      <c r="AP142" s="743"/>
      <c r="AQ142" s="554"/>
      <c r="AR142" s="558"/>
      <c r="AS142" s="433"/>
      <c r="AT142" s="433"/>
      <c r="AU142" s="433"/>
      <c r="AV142" s="558"/>
      <c r="AW142" s="433"/>
      <c r="AX142" s="433"/>
      <c r="AY142" s="433"/>
      <c r="AZ142" s="740"/>
      <c r="BA142" s="740"/>
      <c r="BB142" s="741"/>
      <c r="BC142" s="739"/>
      <c r="BD142" s="739"/>
      <c r="BE142" s="1123"/>
      <c r="BF142" s="742"/>
      <c r="BG142" s="1123"/>
      <c r="BH142" s="433"/>
      <c r="BI142" s="11"/>
    </row>
    <row r="143" spans="1:62" ht="19.149999999999999" customHeight="1">
      <c r="A143" s="545">
        <v>15</v>
      </c>
      <c r="B143" s="426" t="s">
        <v>212</v>
      </c>
      <c r="C143" s="545">
        <f>C144+C145+C146+C147+C148+C149+C150</f>
        <v>856.7</v>
      </c>
      <c r="D143" s="545">
        <f>D144+D145+D146+D147+D148+D149+D150</f>
        <v>44.900000000000006</v>
      </c>
      <c r="E143" s="545">
        <f>SUM(E144:E150)</f>
        <v>207885.09999999998</v>
      </c>
      <c r="F143" s="545">
        <f t="shared" ref="F143:AG143" si="418">F144+F145+F146+F147+F148+F149+F150</f>
        <v>8132.4</v>
      </c>
      <c r="G143" s="558">
        <v>20221.5</v>
      </c>
      <c r="H143" s="545">
        <f t="shared" si="418"/>
        <v>207885.09999999998</v>
      </c>
      <c r="I143" s="545">
        <f t="shared" si="418"/>
        <v>198612.5</v>
      </c>
      <c r="J143" s="545">
        <f t="shared" si="418"/>
        <v>0</v>
      </c>
      <c r="K143" s="545">
        <f t="shared" si="418"/>
        <v>9272.5999999999967</v>
      </c>
      <c r="L143" s="545">
        <f t="shared" si="418"/>
        <v>8132.4</v>
      </c>
      <c r="M143" s="545">
        <f t="shared" si="418"/>
        <v>7978.6</v>
      </c>
      <c r="N143" s="545">
        <f t="shared" si="418"/>
        <v>34.800000000000018</v>
      </c>
      <c r="O143" s="559">
        <f t="shared" si="418"/>
        <v>153.79999999999998</v>
      </c>
      <c r="P143" s="560">
        <f t="shared" si="418"/>
        <v>891.5</v>
      </c>
      <c r="Q143" s="545">
        <f t="shared" si="418"/>
        <v>46.1</v>
      </c>
      <c r="R143" s="558">
        <v>20221.5</v>
      </c>
      <c r="S143" s="558"/>
      <c r="T143" s="561">
        <f>SUM(T144:T150)</f>
        <v>224306308.93000001</v>
      </c>
      <c r="U143" s="545">
        <f t="shared" ref="U143:AB143" si="419">U144+U145+U146+U147+U148+U149+U150</f>
        <v>216192635.11000001</v>
      </c>
      <c r="V143" s="545">
        <f t="shared" si="419"/>
        <v>206905035.11000001</v>
      </c>
      <c r="W143" s="545">
        <f t="shared" si="419"/>
        <v>0</v>
      </c>
      <c r="X143" s="545">
        <f t="shared" si="419"/>
        <v>9287600</v>
      </c>
      <c r="Y143" s="545">
        <f t="shared" si="419"/>
        <v>8113673.8199999994</v>
      </c>
      <c r="Z143" s="545">
        <f t="shared" si="419"/>
        <v>7960373.8199999994</v>
      </c>
      <c r="AA143" s="545">
        <f t="shared" si="419"/>
        <v>0</v>
      </c>
      <c r="AB143" s="545">
        <f t="shared" si="419"/>
        <v>153300</v>
      </c>
      <c r="AC143" s="545">
        <f t="shared" si="418"/>
        <v>224306308.93000001</v>
      </c>
      <c r="AD143" s="545">
        <f t="shared" si="418"/>
        <v>214865408.93000001</v>
      </c>
      <c r="AE143" s="545">
        <f t="shared" si="418"/>
        <v>0</v>
      </c>
      <c r="AF143" s="545">
        <f t="shared" si="418"/>
        <v>9440900</v>
      </c>
      <c r="AG143" s="545">
        <f t="shared" si="418"/>
        <v>279754762.43000001</v>
      </c>
      <c r="AH143" s="558">
        <v>10473629</v>
      </c>
      <c r="AI143" s="1086">
        <v>288318738.69999999</v>
      </c>
      <c r="AJ143" s="765">
        <f>AH143+AG143</f>
        <v>290228391.43000001</v>
      </c>
      <c r="AK143" s="876">
        <f>AJ143-AI143</f>
        <v>1909652.7300000191</v>
      </c>
      <c r="AL143" s="563">
        <v>20221.5</v>
      </c>
      <c r="AM143" s="563">
        <f t="shared" si="226"/>
        <v>0</v>
      </c>
      <c r="AN143" s="545">
        <f>AN144+AN145+AN146+AN147+AN148+AN149+AN150</f>
        <v>14.299999999999962</v>
      </c>
      <c r="AO143" s="545">
        <f>AO144+AO145+AO146+AO147+AO148+AO149+AO150</f>
        <v>905.8</v>
      </c>
      <c r="AP143" s="545">
        <f t="shared" ref="AP143:BC143" si="420">AP144+AP145+AP146+AP147+AP148+AP149+AP150</f>
        <v>47.1</v>
      </c>
      <c r="AQ143" s="561">
        <f>SUM(AQ144:AQ150)</f>
        <v>227129937.83000004</v>
      </c>
      <c r="AR143" s="545">
        <f t="shared" si="346"/>
        <v>219799616.40000001</v>
      </c>
      <c r="AS143" s="545">
        <f t="shared" si="420"/>
        <v>209494513.10000002</v>
      </c>
      <c r="AT143" s="545">
        <f t="shared" si="420"/>
        <v>0</v>
      </c>
      <c r="AU143" s="545">
        <f t="shared" si="420"/>
        <v>9317600</v>
      </c>
      <c r="AV143" s="545">
        <f t="shared" si="349"/>
        <v>0</v>
      </c>
      <c r="AW143" s="545">
        <f>AW144+AW145+AW146+AW147+AW148+AW149+AW150</f>
        <v>8164524.7299999995</v>
      </c>
      <c r="AX143" s="545">
        <f t="shared" si="420"/>
        <v>0</v>
      </c>
      <c r="AY143" s="545">
        <f t="shared" si="420"/>
        <v>153300</v>
      </c>
      <c r="AZ143" s="545">
        <f t="shared" si="420"/>
        <v>0</v>
      </c>
      <c r="BA143" s="545">
        <f t="shared" si="420"/>
        <v>9470900</v>
      </c>
      <c r="BB143" s="545">
        <f t="shared" si="420"/>
        <v>217659037.83000004</v>
      </c>
      <c r="BC143" s="545">
        <f t="shared" si="420"/>
        <v>283392067.29999995</v>
      </c>
      <c r="BD143" s="558">
        <v>10508807</v>
      </c>
      <c r="BE143" s="564">
        <f>BD143+BC143</f>
        <v>293900874.29999995</v>
      </c>
      <c r="BF143" s="562">
        <v>288318738.69999999</v>
      </c>
      <c r="BG143" s="565">
        <f>BE143-BF143</f>
        <v>5582135.5999999642</v>
      </c>
      <c r="BH143" s="876">
        <f>AG143+AH143</f>
        <v>290228391.43000001</v>
      </c>
      <c r="BI143" s="876">
        <f>BH143-AI143</f>
        <v>1909652.7300000191</v>
      </c>
      <c r="BJ143" s="13" t="s">
        <v>678</v>
      </c>
    </row>
    <row r="144" spans="1:62">
      <c r="A144" s="11">
        <v>1</v>
      </c>
      <c r="B144" s="13" t="s">
        <v>71</v>
      </c>
      <c r="C144" s="17">
        <v>13.7</v>
      </c>
      <c r="D144" s="17"/>
      <c r="E144" s="11">
        <v>7956.9</v>
      </c>
      <c r="F144" s="11"/>
      <c r="G144" s="555">
        <v>48399.64</v>
      </c>
      <c r="H144" s="545">
        <f>I144+J144+K144</f>
        <v>7956.9</v>
      </c>
      <c r="I144" s="11">
        <f t="shared" ref="I144:I150" si="421">E144-K144-J144</f>
        <v>7713.4</v>
      </c>
      <c r="J144" s="11"/>
      <c r="K144" s="11">
        <v>243.5</v>
      </c>
      <c r="L144" s="545">
        <f>M144+O144</f>
        <v>0</v>
      </c>
      <c r="M144" s="11">
        <f>F144-O144</f>
        <v>0</v>
      </c>
      <c r="N144" s="862">
        <f>P144-C144</f>
        <v>0.30000000000000071</v>
      </c>
      <c r="O144" s="439"/>
      <c r="P144" s="444">
        <v>14</v>
      </c>
      <c r="Q144" s="17">
        <v>0</v>
      </c>
      <c r="R144" s="555">
        <v>48399.64</v>
      </c>
      <c r="S144" s="555"/>
      <c r="T144" s="554">
        <f>U144+Y144</f>
        <v>8131139.5199999996</v>
      </c>
      <c r="U144" s="556">
        <f t="shared" ref="U144:U150" si="422">ROUND(R144*P144*12,2)</f>
        <v>8131139.5199999996</v>
      </c>
      <c r="V144" s="433">
        <f t="shared" ref="V144:V150" si="423">U144-W144-X144</f>
        <v>7887639.5199999996</v>
      </c>
      <c r="W144" s="11"/>
      <c r="X144" s="11">
        <v>243500</v>
      </c>
      <c r="Y144" s="556">
        <f t="shared" ref="Y144:Y150" si="424">ROUND(S144*Q144*12,2)</f>
        <v>0</v>
      </c>
      <c r="Z144" s="11">
        <f t="shared" ref="Z144:Z150" si="425">Y144-AA144-AB144</f>
        <v>0</v>
      </c>
      <c r="AA144" s="11"/>
      <c r="AB144" s="11">
        <v>0</v>
      </c>
      <c r="AC144" s="554">
        <f t="shared" ref="AC144:AC150" si="426">AD144+AE144+AF144</f>
        <v>8131139.5199999996</v>
      </c>
      <c r="AD144" s="433">
        <f t="shared" ref="AD144:AD150" si="427">ROUND((Z144+V144),2)</f>
        <v>7887639.5199999996</v>
      </c>
      <c r="AE144" s="11">
        <f t="shared" ref="AE144:AF150" si="428">AA144+W144</f>
        <v>0</v>
      </c>
      <c r="AF144" s="11">
        <f t="shared" si="428"/>
        <v>243500</v>
      </c>
      <c r="AG144" s="544">
        <f t="shared" ref="AG144:AG150" si="429">ROUND(AD144*1.302,2)</f>
        <v>10269706.66</v>
      </c>
      <c r="AH144" s="11"/>
      <c r="AI144" s="1084"/>
      <c r="AJ144" s="850"/>
      <c r="AK144" s="850"/>
      <c r="AL144" s="557">
        <v>48399.64</v>
      </c>
      <c r="AM144" s="557">
        <f t="shared" si="226"/>
        <v>0</v>
      </c>
      <c r="AN144" s="1233"/>
      <c r="AO144" s="17">
        <v>14</v>
      </c>
      <c r="AP144" s="17">
        <v>0</v>
      </c>
      <c r="AQ144" s="554">
        <f>AR144+AV144</f>
        <v>8131139.5</v>
      </c>
      <c r="AR144" s="545">
        <f t="shared" si="346"/>
        <v>8131139.5</v>
      </c>
      <c r="AS144" s="11">
        <f t="shared" ref="AS144:AS150" si="430">AR144-AT144-AU144</f>
        <v>7887639.5</v>
      </c>
      <c r="AT144" s="11">
        <f>W144</f>
        <v>0</v>
      </c>
      <c r="AU144" s="11">
        <f t="shared" ref="AU144:AU150" si="431">X144</f>
        <v>243500</v>
      </c>
      <c r="AV144" s="545">
        <f t="shared" si="349"/>
        <v>0</v>
      </c>
      <c r="AW144" s="11">
        <f t="shared" ref="AW144:AW150" si="432">AV144-AX144-AY144</f>
        <v>0</v>
      </c>
      <c r="AX144" s="11">
        <f t="shared" ref="AX144:AY150" si="433">AA144</f>
        <v>0</v>
      </c>
      <c r="AY144" s="11">
        <f t="shared" si="433"/>
        <v>0</v>
      </c>
      <c r="AZ144" s="18">
        <f>AX144+AT144</f>
        <v>0</v>
      </c>
      <c r="BA144" s="18">
        <f t="shared" ref="BA144:BA150" si="434">AY144+AU144</f>
        <v>243500</v>
      </c>
      <c r="BB144" s="19">
        <f>AW144+AS144</f>
        <v>7887639.5</v>
      </c>
      <c r="BC144" s="544">
        <f>ROUND(BB144*1.302,1)</f>
        <v>10269706.6</v>
      </c>
      <c r="BD144" s="544"/>
      <c r="BE144" s="11"/>
      <c r="BF144" s="445"/>
      <c r="BG144" s="11"/>
      <c r="BH144" s="11"/>
      <c r="BI144" s="11"/>
      <c r="BJ144" s="13" t="s">
        <v>679</v>
      </c>
    </row>
    <row r="145" spans="1:62" ht="13.15" customHeight="1">
      <c r="A145" s="11">
        <v>2</v>
      </c>
      <c r="B145" s="13" t="s">
        <v>72</v>
      </c>
      <c r="C145" s="17">
        <v>61.5</v>
      </c>
      <c r="D145" s="17">
        <v>0.5</v>
      </c>
      <c r="E145" s="11">
        <v>28822.9</v>
      </c>
      <c r="F145" s="11">
        <v>219</v>
      </c>
      <c r="G145" s="555">
        <v>39055.42</v>
      </c>
      <c r="H145" s="545">
        <f t="shared" ref="H145:H150" si="435">I145+J145+K145</f>
        <v>28822.9</v>
      </c>
      <c r="I145" s="11">
        <f t="shared" si="421"/>
        <v>27884.100000000002</v>
      </c>
      <c r="J145" s="11"/>
      <c r="K145" s="11">
        <v>938.8</v>
      </c>
      <c r="L145" s="545">
        <f t="shared" ref="L145:L150" si="436">M145+O145</f>
        <v>219</v>
      </c>
      <c r="M145" s="11">
        <f t="shared" ref="M145:M150" si="437">F145-O145</f>
        <v>219</v>
      </c>
      <c r="N145" s="862">
        <f t="shared" ref="N145:N150" si="438">P145-C145</f>
        <v>2.2999999999999972</v>
      </c>
      <c r="O145" s="439">
        <f>'[6]Смарт 2015'!L150</f>
        <v>0</v>
      </c>
      <c r="P145" s="444">
        <v>63.8</v>
      </c>
      <c r="Q145" s="17">
        <v>0</v>
      </c>
      <c r="R145" s="555">
        <v>39055.42</v>
      </c>
      <c r="S145" s="555">
        <f t="shared" ref="S145:S150" si="439">ROUND(F145/D145/12*1000,2)</f>
        <v>36500</v>
      </c>
      <c r="T145" s="554">
        <f t="shared" ref="T145:T150" si="440">U145+Y145</f>
        <v>29900829.550000001</v>
      </c>
      <c r="U145" s="556">
        <f t="shared" si="422"/>
        <v>29900829.550000001</v>
      </c>
      <c r="V145" s="433">
        <f t="shared" si="423"/>
        <v>28962029.550000001</v>
      </c>
      <c r="W145" s="11"/>
      <c r="X145" s="11">
        <v>938800</v>
      </c>
      <c r="Y145" s="556">
        <f t="shared" si="424"/>
        <v>0</v>
      </c>
      <c r="Z145" s="11">
        <f t="shared" si="425"/>
        <v>0</v>
      </c>
      <c r="AA145" s="11"/>
      <c r="AB145" s="11">
        <v>0</v>
      </c>
      <c r="AC145" s="554">
        <f t="shared" si="426"/>
        <v>29900829.550000001</v>
      </c>
      <c r="AD145" s="433">
        <f t="shared" si="427"/>
        <v>28962029.550000001</v>
      </c>
      <c r="AE145" s="11">
        <f t="shared" si="428"/>
        <v>0</v>
      </c>
      <c r="AF145" s="11">
        <f t="shared" si="428"/>
        <v>938800</v>
      </c>
      <c r="AG145" s="544">
        <f t="shared" si="429"/>
        <v>37708562.469999999</v>
      </c>
      <c r="AH145" s="11"/>
      <c r="AI145" s="1084"/>
      <c r="AJ145" s="850"/>
      <c r="AK145" s="850"/>
      <c r="AL145" s="557">
        <v>39055.42</v>
      </c>
      <c r="AM145" s="557">
        <f t="shared" si="226"/>
        <v>36500</v>
      </c>
      <c r="AN145" s="1233">
        <f>AO145-P145</f>
        <v>0.29999999999999716</v>
      </c>
      <c r="AO145" s="17">
        <v>64.099999999999994</v>
      </c>
      <c r="AP145" s="17">
        <v>0</v>
      </c>
      <c r="AQ145" s="554">
        <f t="shared" ref="AQ145:AQ150" si="441">AR145+AV145</f>
        <v>30041429.100000001</v>
      </c>
      <c r="AR145" s="545">
        <f t="shared" si="346"/>
        <v>30041429.100000001</v>
      </c>
      <c r="AS145" s="11">
        <f t="shared" si="430"/>
        <v>29102629.100000001</v>
      </c>
      <c r="AT145" s="11">
        <f t="shared" ref="AT145:AT150" si="442">W145</f>
        <v>0</v>
      </c>
      <c r="AU145" s="11">
        <f t="shared" si="431"/>
        <v>938800</v>
      </c>
      <c r="AV145" s="545">
        <f t="shared" si="349"/>
        <v>0</v>
      </c>
      <c r="AW145" s="11">
        <f t="shared" si="432"/>
        <v>0</v>
      </c>
      <c r="AX145" s="11">
        <f t="shared" si="433"/>
        <v>0</v>
      </c>
      <c r="AY145" s="11">
        <f t="shared" si="433"/>
        <v>0</v>
      </c>
      <c r="AZ145" s="18">
        <f t="shared" ref="AZ145:AZ150" si="443">AX145+AT145</f>
        <v>0</v>
      </c>
      <c r="BA145" s="18">
        <f t="shared" si="434"/>
        <v>938800</v>
      </c>
      <c r="BB145" s="19">
        <f t="shared" ref="BB145:BB150" si="444">AW145+AS145</f>
        <v>29102629.100000001</v>
      </c>
      <c r="BC145" s="544">
        <f t="shared" ref="BC145:BC150" si="445">ROUND(BB145*1.302,1)</f>
        <v>37891623.100000001</v>
      </c>
      <c r="BD145" s="544"/>
      <c r="BE145" s="11"/>
      <c r="BF145" s="445"/>
      <c r="BG145" s="11"/>
      <c r="BH145" s="11"/>
      <c r="BI145" s="11"/>
      <c r="BJ145" s="1685" t="s">
        <v>680</v>
      </c>
    </row>
    <row r="146" spans="1:62">
      <c r="A146" s="11">
        <v>3</v>
      </c>
      <c r="B146" s="14" t="s">
        <v>76</v>
      </c>
      <c r="C146" s="17">
        <v>398.5</v>
      </c>
      <c r="D146" s="17">
        <v>18.2</v>
      </c>
      <c r="E146" s="11">
        <v>117411.7</v>
      </c>
      <c r="F146" s="11">
        <v>4227.1000000000004</v>
      </c>
      <c r="G146" s="29">
        <v>24552.84</v>
      </c>
      <c r="H146" s="545">
        <f t="shared" si="435"/>
        <v>117411.7</v>
      </c>
      <c r="I146" s="11">
        <f t="shared" si="421"/>
        <v>110142.3</v>
      </c>
      <c r="J146" s="11"/>
      <c r="K146" s="11">
        <v>7269.4</v>
      </c>
      <c r="L146" s="545">
        <f t="shared" si="436"/>
        <v>4227.1000000000004</v>
      </c>
      <c r="M146" s="11">
        <f t="shared" si="437"/>
        <v>4108.1000000000004</v>
      </c>
      <c r="N146" s="862">
        <f t="shared" si="438"/>
        <v>17.100000000000023</v>
      </c>
      <c r="O146" s="439">
        <v>119</v>
      </c>
      <c r="P146" s="444">
        <v>415.6</v>
      </c>
      <c r="Q146" s="17">
        <v>18.600000000000001</v>
      </c>
      <c r="R146" s="29">
        <v>24552.84</v>
      </c>
      <c r="S146" s="555">
        <f t="shared" si="439"/>
        <v>19354.849999999999</v>
      </c>
      <c r="T146" s="554">
        <f t="shared" si="440"/>
        <v>126769926.17</v>
      </c>
      <c r="U146" s="556">
        <f t="shared" si="422"/>
        <v>122449923.65000001</v>
      </c>
      <c r="V146" s="433">
        <f t="shared" si="423"/>
        <v>115180523.65000001</v>
      </c>
      <c r="W146" s="11"/>
      <c r="X146" s="11">
        <v>7269400</v>
      </c>
      <c r="Y146" s="556">
        <f t="shared" si="424"/>
        <v>4320002.5199999996</v>
      </c>
      <c r="Z146" s="11">
        <f t="shared" si="425"/>
        <v>4201502.5199999996</v>
      </c>
      <c r="AA146" s="11"/>
      <c r="AB146" s="11">
        <v>118500</v>
      </c>
      <c r="AC146" s="554">
        <f t="shared" si="426"/>
        <v>126769926.17</v>
      </c>
      <c r="AD146" s="433">
        <f t="shared" si="427"/>
        <v>119382026.17</v>
      </c>
      <c r="AE146" s="11">
        <f t="shared" si="428"/>
        <v>0</v>
      </c>
      <c r="AF146" s="11">
        <f t="shared" si="428"/>
        <v>7387900</v>
      </c>
      <c r="AG146" s="544">
        <f t="shared" si="429"/>
        <v>155435398.06999999</v>
      </c>
      <c r="AH146" s="11"/>
      <c r="AI146" s="1084"/>
      <c r="AJ146" s="850"/>
      <c r="AK146" s="850"/>
      <c r="AL146" s="440">
        <v>24552.84</v>
      </c>
      <c r="AM146" s="557">
        <f t="shared" si="226"/>
        <v>19354.849999999999</v>
      </c>
      <c r="AN146" s="1233">
        <f>AO146-P146</f>
        <v>2.3999999999999773</v>
      </c>
      <c r="AO146" s="17">
        <v>418</v>
      </c>
      <c r="AP146" s="17">
        <v>19.3</v>
      </c>
      <c r="AQ146" s="554">
        <f t="shared" si="441"/>
        <v>127639628.66000001</v>
      </c>
      <c r="AR146" s="545">
        <f t="shared" si="346"/>
        <v>123157045.40000001</v>
      </c>
      <c r="AS146" s="11">
        <f t="shared" si="430"/>
        <v>115887645.40000001</v>
      </c>
      <c r="AT146" s="11">
        <f t="shared" si="442"/>
        <v>0</v>
      </c>
      <c r="AU146" s="11">
        <f t="shared" si="431"/>
        <v>7269400</v>
      </c>
      <c r="AV146" s="545">
        <f t="shared" si="349"/>
        <v>4482583.26</v>
      </c>
      <c r="AW146" s="11">
        <f t="shared" si="432"/>
        <v>4364083.26</v>
      </c>
      <c r="AX146" s="11">
        <f t="shared" si="433"/>
        <v>0</v>
      </c>
      <c r="AY146" s="11">
        <f t="shared" si="433"/>
        <v>118500</v>
      </c>
      <c r="AZ146" s="18">
        <f t="shared" si="443"/>
        <v>0</v>
      </c>
      <c r="BA146" s="18">
        <f t="shared" si="434"/>
        <v>7387900</v>
      </c>
      <c r="BB146" s="19">
        <f t="shared" si="444"/>
        <v>120251728.66000001</v>
      </c>
      <c r="BC146" s="544">
        <f t="shared" si="445"/>
        <v>156567750.69999999</v>
      </c>
      <c r="BD146" s="544"/>
      <c r="BE146" s="11"/>
      <c r="BF146" s="445"/>
      <c r="BG146" s="11"/>
      <c r="BH146" s="11"/>
      <c r="BI146" s="11"/>
      <c r="BJ146" s="1686"/>
    </row>
    <row r="147" spans="1:62">
      <c r="A147" s="11">
        <v>4</v>
      </c>
      <c r="B147" s="14" t="s">
        <v>77</v>
      </c>
      <c r="C147" s="17">
        <v>36</v>
      </c>
      <c r="D147" s="17">
        <v>1.3</v>
      </c>
      <c r="E147" s="11">
        <v>8256.7999999999993</v>
      </c>
      <c r="F147" s="11">
        <v>309.2</v>
      </c>
      <c r="G147" s="432">
        <v>19112.96</v>
      </c>
      <c r="H147" s="545">
        <f t="shared" si="435"/>
        <v>8256.7999999999993</v>
      </c>
      <c r="I147" s="11">
        <f t="shared" si="421"/>
        <v>7725.4999999999991</v>
      </c>
      <c r="J147" s="11"/>
      <c r="K147" s="11">
        <v>531.29999999999995</v>
      </c>
      <c r="L147" s="545">
        <f t="shared" si="436"/>
        <v>309.2</v>
      </c>
      <c r="M147" s="11">
        <f t="shared" si="437"/>
        <v>277.59999999999997</v>
      </c>
      <c r="N147" s="862">
        <f t="shared" si="438"/>
        <v>-2.1000000000000014</v>
      </c>
      <c r="O147" s="439">
        <v>31.6</v>
      </c>
      <c r="P147" s="444">
        <v>33.9</v>
      </c>
      <c r="Q147" s="17">
        <v>0.5</v>
      </c>
      <c r="R147" s="432">
        <v>19712.96</v>
      </c>
      <c r="S147" s="555">
        <f t="shared" si="439"/>
        <v>19820.509999999998</v>
      </c>
      <c r="T147" s="554">
        <f t="shared" si="440"/>
        <v>8138155.1899999995</v>
      </c>
      <c r="U147" s="556">
        <f t="shared" si="422"/>
        <v>8019232.1299999999</v>
      </c>
      <c r="V147" s="433">
        <f t="shared" si="423"/>
        <v>7472932.1299999999</v>
      </c>
      <c r="W147" s="11"/>
      <c r="X147" s="11">
        <v>546300</v>
      </c>
      <c r="Y147" s="556">
        <f t="shared" si="424"/>
        <v>118923.06</v>
      </c>
      <c r="Z147" s="11">
        <f t="shared" si="425"/>
        <v>87323.06</v>
      </c>
      <c r="AA147" s="11"/>
      <c r="AB147" s="11">
        <v>31600</v>
      </c>
      <c r="AC147" s="554">
        <f t="shared" si="426"/>
        <v>8138155.1900000004</v>
      </c>
      <c r="AD147" s="433">
        <f t="shared" si="427"/>
        <v>7560255.1900000004</v>
      </c>
      <c r="AE147" s="11">
        <f t="shared" si="428"/>
        <v>0</v>
      </c>
      <c r="AF147" s="11">
        <f t="shared" si="428"/>
        <v>577900</v>
      </c>
      <c r="AG147" s="544">
        <f t="shared" si="429"/>
        <v>9843452.2599999998</v>
      </c>
      <c r="AH147" s="11"/>
      <c r="AI147" s="1084"/>
      <c r="AJ147" s="850"/>
      <c r="AK147" s="850"/>
      <c r="AL147" s="441">
        <v>19712.96</v>
      </c>
      <c r="AM147" s="557">
        <f t="shared" si="226"/>
        <v>19820.509999999998</v>
      </c>
      <c r="AN147" s="1233">
        <f>AO147-P147</f>
        <v>2.3999999999999986</v>
      </c>
      <c r="AO147" s="17">
        <v>36.299999999999997</v>
      </c>
      <c r="AP147" s="17">
        <v>0.5</v>
      </c>
      <c r="AQ147" s="554">
        <f t="shared" si="441"/>
        <v>8705888.4600000009</v>
      </c>
      <c r="AR147" s="545">
        <f t="shared" si="346"/>
        <v>8586965.4000000004</v>
      </c>
      <c r="AS147" s="11">
        <f t="shared" si="430"/>
        <v>8010665.4000000004</v>
      </c>
      <c r="AT147" s="11">
        <f t="shared" si="442"/>
        <v>0</v>
      </c>
      <c r="AU147" s="11">
        <v>576300</v>
      </c>
      <c r="AV147" s="545">
        <f t="shared" si="349"/>
        <v>118923.06</v>
      </c>
      <c r="AW147" s="11">
        <f t="shared" si="432"/>
        <v>87323.06</v>
      </c>
      <c r="AX147" s="11">
        <f t="shared" si="433"/>
        <v>0</v>
      </c>
      <c r="AY147" s="11">
        <f t="shared" si="433"/>
        <v>31600</v>
      </c>
      <c r="AZ147" s="18">
        <f t="shared" si="443"/>
        <v>0</v>
      </c>
      <c r="BA147" s="18">
        <f t="shared" si="434"/>
        <v>607900</v>
      </c>
      <c r="BB147" s="19">
        <f t="shared" si="444"/>
        <v>8097988.46</v>
      </c>
      <c r="BC147" s="544">
        <f t="shared" si="445"/>
        <v>10543581</v>
      </c>
      <c r="BD147" s="544"/>
      <c r="BE147" s="11"/>
      <c r="BF147" s="445"/>
      <c r="BG147" s="11"/>
      <c r="BH147" s="11"/>
      <c r="BI147" s="11"/>
      <c r="BJ147" s="1687"/>
    </row>
    <row r="148" spans="1:62">
      <c r="A148" s="11">
        <v>5</v>
      </c>
      <c r="B148" s="13" t="s">
        <v>73</v>
      </c>
      <c r="C148" s="17"/>
      <c r="D148" s="17"/>
      <c r="E148" s="11"/>
      <c r="F148" s="11"/>
      <c r="G148" s="555"/>
      <c r="H148" s="545">
        <f t="shared" si="435"/>
        <v>0</v>
      </c>
      <c r="I148" s="11">
        <f t="shared" si="421"/>
        <v>0</v>
      </c>
      <c r="J148" s="11"/>
      <c r="K148" s="11"/>
      <c r="L148" s="545">
        <f t="shared" si="436"/>
        <v>0</v>
      </c>
      <c r="M148" s="11">
        <f t="shared" si="437"/>
        <v>0</v>
      </c>
      <c r="N148" s="862">
        <f t="shared" si="438"/>
        <v>0</v>
      </c>
      <c r="O148" s="439"/>
      <c r="P148" s="444">
        <v>0</v>
      </c>
      <c r="Q148" s="17">
        <v>0</v>
      </c>
      <c r="R148" s="555"/>
      <c r="S148" s="555"/>
      <c r="T148" s="554">
        <f t="shared" si="440"/>
        <v>0</v>
      </c>
      <c r="U148" s="556">
        <f t="shared" si="422"/>
        <v>0</v>
      </c>
      <c r="V148" s="433">
        <f t="shared" si="423"/>
        <v>0</v>
      </c>
      <c r="W148" s="11"/>
      <c r="X148" s="11">
        <v>0</v>
      </c>
      <c r="Y148" s="556">
        <f t="shared" si="424"/>
        <v>0</v>
      </c>
      <c r="Z148" s="11">
        <f t="shared" si="425"/>
        <v>0</v>
      </c>
      <c r="AA148" s="11"/>
      <c r="AB148" s="11">
        <v>0</v>
      </c>
      <c r="AC148" s="554">
        <f t="shared" si="426"/>
        <v>0</v>
      </c>
      <c r="AD148" s="433">
        <f t="shared" si="427"/>
        <v>0</v>
      </c>
      <c r="AE148" s="11">
        <f t="shared" si="428"/>
        <v>0</v>
      </c>
      <c r="AF148" s="11">
        <f t="shared" si="428"/>
        <v>0</v>
      </c>
      <c r="AG148" s="544">
        <f t="shared" si="429"/>
        <v>0</v>
      </c>
      <c r="AH148" s="11"/>
      <c r="AI148" s="1084"/>
      <c r="AJ148" s="850"/>
      <c r="AK148" s="850"/>
      <c r="AL148" s="557"/>
      <c r="AM148" s="557">
        <f t="shared" si="226"/>
        <v>0</v>
      </c>
      <c r="AN148" s="1233"/>
      <c r="AO148" s="17">
        <v>0</v>
      </c>
      <c r="AP148" s="17">
        <v>0</v>
      </c>
      <c r="AQ148" s="554">
        <f t="shared" si="441"/>
        <v>0</v>
      </c>
      <c r="AR148" s="545">
        <f t="shared" si="346"/>
        <v>0</v>
      </c>
      <c r="AS148" s="11">
        <f t="shared" si="430"/>
        <v>0</v>
      </c>
      <c r="AT148" s="11">
        <f t="shared" si="442"/>
        <v>0</v>
      </c>
      <c r="AU148" s="11">
        <f t="shared" si="431"/>
        <v>0</v>
      </c>
      <c r="AV148" s="545">
        <f t="shared" si="349"/>
        <v>0</v>
      </c>
      <c r="AW148" s="11">
        <f t="shared" si="432"/>
        <v>0</v>
      </c>
      <c r="AX148" s="11">
        <f t="shared" si="433"/>
        <v>0</v>
      </c>
      <c r="AY148" s="11">
        <f t="shared" si="433"/>
        <v>0</v>
      </c>
      <c r="AZ148" s="18">
        <f t="shared" si="443"/>
        <v>0</v>
      </c>
      <c r="BA148" s="18">
        <f t="shared" si="434"/>
        <v>0</v>
      </c>
      <c r="BB148" s="19">
        <f t="shared" si="444"/>
        <v>0</v>
      </c>
      <c r="BC148" s="544">
        <f t="shared" si="445"/>
        <v>0</v>
      </c>
      <c r="BD148" s="544"/>
      <c r="BE148" s="11"/>
      <c r="BF148" s="445"/>
      <c r="BG148" s="11"/>
      <c r="BH148" s="11"/>
      <c r="BI148" s="11"/>
      <c r="BJ148" s="860"/>
    </row>
    <row r="149" spans="1:62">
      <c r="A149" s="11">
        <v>6</v>
      </c>
      <c r="B149" s="13" t="s">
        <v>74</v>
      </c>
      <c r="C149" s="17">
        <v>1.3</v>
      </c>
      <c r="D149" s="17">
        <v>1.1000000000000001</v>
      </c>
      <c r="E149" s="11">
        <v>194.3</v>
      </c>
      <c r="F149" s="11">
        <v>79.2</v>
      </c>
      <c r="G149" s="555">
        <v>12455.13</v>
      </c>
      <c r="H149" s="545">
        <f t="shared" si="435"/>
        <v>194.3</v>
      </c>
      <c r="I149" s="11">
        <f t="shared" si="421"/>
        <v>164</v>
      </c>
      <c r="J149" s="11"/>
      <c r="K149" s="11">
        <v>30.3</v>
      </c>
      <c r="L149" s="545">
        <f t="shared" si="436"/>
        <v>79.2</v>
      </c>
      <c r="M149" s="11">
        <f t="shared" si="437"/>
        <v>79.2</v>
      </c>
      <c r="N149" s="862">
        <f t="shared" si="438"/>
        <v>0.19999999999999996</v>
      </c>
      <c r="O149" s="439">
        <f>'[6]Смарт 2015'!L156</f>
        <v>0</v>
      </c>
      <c r="P149" s="444">
        <v>1.5</v>
      </c>
      <c r="Q149" s="17">
        <v>1</v>
      </c>
      <c r="R149" s="555">
        <v>12455.13</v>
      </c>
      <c r="S149" s="555">
        <f t="shared" si="439"/>
        <v>6000</v>
      </c>
      <c r="T149" s="554">
        <f t="shared" si="440"/>
        <v>296192.33999999997</v>
      </c>
      <c r="U149" s="556">
        <f t="shared" si="422"/>
        <v>224192.34</v>
      </c>
      <c r="V149" s="433">
        <f t="shared" si="423"/>
        <v>193892.34</v>
      </c>
      <c r="W149" s="11"/>
      <c r="X149" s="11">
        <v>30300</v>
      </c>
      <c r="Y149" s="556">
        <f t="shared" si="424"/>
        <v>72000</v>
      </c>
      <c r="Z149" s="11">
        <f t="shared" si="425"/>
        <v>72000</v>
      </c>
      <c r="AA149" s="11"/>
      <c r="AB149" s="11">
        <v>0</v>
      </c>
      <c r="AC149" s="554">
        <f t="shared" si="426"/>
        <v>296192.34000000003</v>
      </c>
      <c r="AD149" s="433">
        <f t="shared" si="427"/>
        <v>265892.34000000003</v>
      </c>
      <c r="AE149" s="11">
        <f t="shared" si="428"/>
        <v>0</v>
      </c>
      <c r="AF149" s="11">
        <f t="shared" si="428"/>
        <v>30300</v>
      </c>
      <c r="AG149" s="544">
        <f t="shared" si="429"/>
        <v>346191.83</v>
      </c>
      <c r="AH149" s="11"/>
      <c r="AI149" s="1084"/>
      <c r="AJ149" s="850"/>
      <c r="AK149" s="850"/>
      <c r="AL149" s="557">
        <v>12455.13</v>
      </c>
      <c r="AM149" s="557">
        <f t="shared" si="226"/>
        <v>6000</v>
      </c>
      <c r="AN149" s="1233"/>
      <c r="AO149" s="17">
        <v>1.5</v>
      </c>
      <c r="AP149" s="17">
        <v>1</v>
      </c>
      <c r="AQ149" s="554">
        <f t="shared" si="441"/>
        <v>296192.3</v>
      </c>
      <c r="AR149" s="545">
        <f t="shared" si="346"/>
        <v>224192.3</v>
      </c>
      <c r="AS149" s="11">
        <f t="shared" si="430"/>
        <v>193892.3</v>
      </c>
      <c r="AT149" s="11">
        <f t="shared" si="442"/>
        <v>0</v>
      </c>
      <c r="AU149" s="11">
        <f t="shared" si="431"/>
        <v>30300</v>
      </c>
      <c r="AV149" s="545">
        <f t="shared" si="349"/>
        <v>72000</v>
      </c>
      <c r="AW149" s="11">
        <f t="shared" si="432"/>
        <v>72000</v>
      </c>
      <c r="AX149" s="11">
        <f t="shared" si="433"/>
        <v>0</v>
      </c>
      <c r="AY149" s="11">
        <f t="shared" si="433"/>
        <v>0</v>
      </c>
      <c r="AZ149" s="18">
        <f t="shared" si="443"/>
        <v>0</v>
      </c>
      <c r="BA149" s="18">
        <f t="shared" si="434"/>
        <v>30300</v>
      </c>
      <c r="BB149" s="19">
        <f t="shared" si="444"/>
        <v>265892.3</v>
      </c>
      <c r="BC149" s="544">
        <f t="shared" si="445"/>
        <v>346191.8</v>
      </c>
      <c r="BD149" s="544"/>
      <c r="BE149" s="11"/>
      <c r="BF149" s="445"/>
      <c r="BG149" s="11"/>
      <c r="BH149" s="11"/>
      <c r="BI149" s="11"/>
      <c r="BJ149" s="860"/>
    </row>
    <row r="150" spans="1:62">
      <c r="A150" s="11">
        <v>7</v>
      </c>
      <c r="B150" s="1131" t="s">
        <v>814</v>
      </c>
      <c r="C150" s="17">
        <v>345.7</v>
      </c>
      <c r="D150" s="17">
        <v>23.8</v>
      </c>
      <c r="E150" s="11">
        <v>45242.5</v>
      </c>
      <c r="F150" s="11">
        <v>3297.9</v>
      </c>
      <c r="G150" s="555">
        <v>10906.01</v>
      </c>
      <c r="H150" s="545">
        <f t="shared" si="435"/>
        <v>45242.5</v>
      </c>
      <c r="I150" s="11">
        <f t="shared" si="421"/>
        <v>44983.199999999997</v>
      </c>
      <c r="J150" s="11"/>
      <c r="K150" s="11">
        <v>259.3</v>
      </c>
      <c r="L150" s="545">
        <f t="shared" si="436"/>
        <v>3297.9</v>
      </c>
      <c r="M150" s="11">
        <f t="shared" si="437"/>
        <v>3294.7000000000003</v>
      </c>
      <c r="N150" s="862">
        <f t="shared" si="438"/>
        <v>17</v>
      </c>
      <c r="O150" s="439">
        <v>3.2</v>
      </c>
      <c r="P150" s="444">
        <v>362.7</v>
      </c>
      <c r="Q150" s="17">
        <v>26</v>
      </c>
      <c r="R150" s="555">
        <v>10906.01</v>
      </c>
      <c r="S150" s="555">
        <f t="shared" si="439"/>
        <v>11547.27</v>
      </c>
      <c r="T150" s="554">
        <f t="shared" si="440"/>
        <v>51070066.160000004</v>
      </c>
      <c r="U150" s="556">
        <f t="shared" si="422"/>
        <v>47467317.920000002</v>
      </c>
      <c r="V150" s="433">
        <f t="shared" si="423"/>
        <v>47208017.920000002</v>
      </c>
      <c r="W150" s="11"/>
      <c r="X150" s="11">
        <v>259300</v>
      </c>
      <c r="Y150" s="556">
        <f t="shared" si="424"/>
        <v>3602748.24</v>
      </c>
      <c r="Z150" s="11">
        <f t="shared" si="425"/>
        <v>3599548.24</v>
      </c>
      <c r="AA150" s="11"/>
      <c r="AB150" s="11">
        <v>3200</v>
      </c>
      <c r="AC150" s="554">
        <f t="shared" si="426"/>
        <v>51070066.159999996</v>
      </c>
      <c r="AD150" s="433">
        <f t="shared" si="427"/>
        <v>50807566.159999996</v>
      </c>
      <c r="AE150" s="11">
        <f t="shared" si="428"/>
        <v>0</v>
      </c>
      <c r="AF150" s="11">
        <f t="shared" si="428"/>
        <v>262500</v>
      </c>
      <c r="AG150" s="544">
        <f t="shared" si="429"/>
        <v>66151451.140000001</v>
      </c>
      <c r="AH150" s="11"/>
      <c r="AI150" s="1084"/>
      <c r="AJ150" s="850"/>
      <c r="AK150" s="850"/>
      <c r="AL150" s="557">
        <v>10906.01</v>
      </c>
      <c r="AM150" s="557">
        <f t="shared" si="226"/>
        <v>11547.27</v>
      </c>
      <c r="AN150" s="1233">
        <f>AO150-P150</f>
        <v>9.1999999999999886</v>
      </c>
      <c r="AO150" s="17">
        <v>371.9</v>
      </c>
      <c r="AP150" s="17">
        <v>26.3</v>
      </c>
      <c r="AQ150" s="554">
        <f t="shared" si="441"/>
        <v>52315659.810000002</v>
      </c>
      <c r="AR150" s="545">
        <f t="shared" si="346"/>
        <v>48671341.399999999</v>
      </c>
      <c r="AS150" s="11">
        <f t="shared" si="430"/>
        <v>48412041.399999999</v>
      </c>
      <c r="AT150" s="11">
        <f t="shared" si="442"/>
        <v>0</v>
      </c>
      <c r="AU150" s="11">
        <f t="shared" si="431"/>
        <v>259300</v>
      </c>
      <c r="AV150" s="545">
        <f t="shared" si="349"/>
        <v>3644318.41</v>
      </c>
      <c r="AW150" s="11">
        <f t="shared" si="432"/>
        <v>3641118.41</v>
      </c>
      <c r="AX150" s="11">
        <f t="shared" si="433"/>
        <v>0</v>
      </c>
      <c r="AY150" s="11">
        <f t="shared" si="433"/>
        <v>3200</v>
      </c>
      <c r="AZ150" s="18">
        <f t="shared" si="443"/>
        <v>0</v>
      </c>
      <c r="BA150" s="18">
        <f t="shared" si="434"/>
        <v>262500</v>
      </c>
      <c r="BB150" s="19">
        <f t="shared" si="444"/>
        <v>52053159.810000002</v>
      </c>
      <c r="BC150" s="544">
        <f t="shared" si="445"/>
        <v>67773214.099999994</v>
      </c>
      <c r="BD150" s="544"/>
      <c r="BE150" s="11"/>
      <c r="BF150" s="445"/>
      <c r="BG150" s="11"/>
      <c r="BH150" s="11"/>
      <c r="BI150" s="11"/>
      <c r="BJ150" s="860"/>
    </row>
    <row r="151" spans="1:62">
      <c r="A151" s="11"/>
      <c r="B151" s="1132" t="s">
        <v>815</v>
      </c>
      <c r="C151" s="17"/>
      <c r="D151" s="17"/>
      <c r="E151" s="11"/>
      <c r="F151" s="11"/>
      <c r="G151" s="555"/>
      <c r="H151" s="545"/>
      <c r="I151" s="11"/>
      <c r="J151" s="11"/>
      <c r="K151" s="11"/>
      <c r="L151" s="545"/>
      <c r="M151" s="11"/>
      <c r="N151" s="862"/>
      <c r="O151" s="439"/>
      <c r="P151" s="444"/>
      <c r="Q151" s="17"/>
      <c r="R151" s="555"/>
      <c r="S151" s="555"/>
      <c r="T151" s="554"/>
      <c r="U151" s="556"/>
      <c r="V151" s="433"/>
      <c r="W151" s="11"/>
      <c r="X151" s="11"/>
      <c r="Y151" s="556"/>
      <c r="Z151" s="11"/>
      <c r="AA151" s="11"/>
      <c r="AB151" s="11"/>
      <c r="AC151" s="554"/>
      <c r="AD151" s="433"/>
      <c r="AE151" s="11"/>
      <c r="AF151" s="11"/>
      <c r="AG151" s="544"/>
      <c r="AH151" s="11"/>
      <c r="AI151" s="1084"/>
      <c r="AJ151" s="850"/>
      <c r="AK151" s="850"/>
      <c r="AL151" s="557"/>
      <c r="AM151" s="557"/>
      <c r="AN151" s="1233"/>
      <c r="AO151" s="17"/>
      <c r="AP151" s="17"/>
      <c r="AQ151" s="554"/>
      <c r="AR151" s="545"/>
      <c r="AS151" s="11"/>
      <c r="AT151" s="11"/>
      <c r="AU151" s="11"/>
      <c r="AV151" s="545"/>
      <c r="AW151" s="11"/>
      <c r="AX151" s="11"/>
      <c r="AY151" s="11"/>
      <c r="AZ151" s="18"/>
      <c r="BA151" s="18"/>
      <c r="BB151" s="19"/>
      <c r="BC151" s="544"/>
      <c r="BD151" s="544"/>
      <c r="BE151" s="1045"/>
      <c r="BF151" s="445"/>
      <c r="BG151" s="1045"/>
      <c r="BH151" s="11"/>
      <c r="BI151" s="11"/>
      <c r="BJ151" s="872"/>
    </row>
    <row r="152" spans="1:62" ht="19.149999999999999" customHeight="1">
      <c r="A152" s="545">
        <v>16</v>
      </c>
      <c r="B152" s="426" t="s">
        <v>227</v>
      </c>
      <c r="C152" s="545">
        <f>C153+C154+C155+C156+C157+C158+C159</f>
        <v>156.80000000000001</v>
      </c>
      <c r="D152" s="545">
        <f>D153+D154+D155+D156+D157+D158+D159</f>
        <v>4.0999999999999996</v>
      </c>
      <c r="E152" s="545">
        <f>SUM(E153:E159)</f>
        <v>42848.5</v>
      </c>
      <c r="F152" s="545">
        <f t="shared" ref="F152:AG152" si="446">F153+F154+F155+F156+F157+F158+F159</f>
        <v>874</v>
      </c>
      <c r="G152" s="558">
        <v>22772.37</v>
      </c>
      <c r="H152" s="545">
        <f t="shared" si="446"/>
        <v>42848.5</v>
      </c>
      <c r="I152" s="545">
        <f t="shared" si="446"/>
        <v>40924.800000000003</v>
      </c>
      <c r="J152" s="545">
        <f t="shared" si="446"/>
        <v>0</v>
      </c>
      <c r="K152" s="545">
        <f t="shared" si="446"/>
        <v>1923.6999999999998</v>
      </c>
      <c r="L152" s="545">
        <f t="shared" si="446"/>
        <v>874</v>
      </c>
      <c r="M152" s="545">
        <f t="shared" si="446"/>
        <v>874</v>
      </c>
      <c r="N152" s="545">
        <f t="shared" si="446"/>
        <v>0</v>
      </c>
      <c r="O152" s="559">
        <f t="shared" si="446"/>
        <v>7.2000000000000028</v>
      </c>
      <c r="P152" s="560">
        <f t="shared" si="446"/>
        <v>164</v>
      </c>
      <c r="Q152" s="545">
        <f t="shared" si="446"/>
        <v>4.0999999999999996</v>
      </c>
      <c r="R152" s="558">
        <v>22772.37</v>
      </c>
      <c r="S152" s="558"/>
      <c r="T152" s="558">
        <f>SUM(T153:T159)</f>
        <v>44204300.240000002</v>
      </c>
      <c r="U152" s="558">
        <f t="shared" ref="U152:AB152" si="447">U153+U154+U155+U156+U157+U158+U159</f>
        <v>43330300.32</v>
      </c>
      <c r="V152" s="558">
        <f t="shared" si="447"/>
        <v>41403600.32</v>
      </c>
      <c r="W152" s="545">
        <f t="shared" si="447"/>
        <v>0</v>
      </c>
      <c r="X152" s="558">
        <f t="shared" si="447"/>
        <v>1926700</v>
      </c>
      <c r="Y152" s="558">
        <f t="shared" si="447"/>
        <v>873999.91999999993</v>
      </c>
      <c r="Z152" s="558">
        <f t="shared" si="447"/>
        <v>873999.91999999993</v>
      </c>
      <c r="AA152" s="545">
        <f t="shared" si="447"/>
        <v>0</v>
      </c>
      <c r="AB152" s="545">
        <f t="shared" si="447"/>
        <v>0</v>
      </c>
      <c r="AC152" s="558">
        <f t="shared" si="446"/>
        <v>44204300.240000002</v>
      </c>
      <c r="AD152" s="558">
        <f t="shared" si="446"/>
        <v>42277600.240000002</v>
      </c>
      <c r="AE152" s="558">
        <f t="shared" si="446"/>
        <v>0</v>
      </c>
      <c r="AF152" s="558">
        <f t="shared" si="446"/>
        <v>1926700</v>
      </c>
      <c r="AG152" s="558">
        <f t="shared" si="446"/>
        <v>55045435.509999998</v>
      </c>
      <c r="AH152" s="765">
        <f>2566639.13-291639.13</f>
        <v>2275000</v>
      </c>
      <c r="AI152" s="1086">
        <v>57612074.640000001</v>
      </c>
      <c r="AJ152" s="765">
        <f>AH152+AG152</f>
        <v>57320435.509999998</v>
      </c>
      <c r="AK152" s="876">
        <f>AJ152-AI152</f>
        <v>-291639.13000000268</v>
      </c>
      <c r="AL152" s="563">
        <v>22772.37</v>
      </c>
      <c r="AM152" s="563">
        <f t="shared" ref="AM152:AM194" si="448">S152</f>
        <v>0</v>
      </c>
      <c r="AN152" s="545">
        <f>AN153+AN154+AN155+AN156+AN157+AN158+AN159</f>
        <v>0</v>
      </c>
      <c r="AO152" s="545">
        <f>AO153+AO154+AO155+AO156+AO157+AO158+AO159</f>
        <v>164</v>
      </c>
      <c r="AP152" s="545">
        <f t="shared" ref="AP152:BC152" si="449">AP153+AP154+AP155+AP156+AP157+AP158+AP159</f>
        <v>4.0999999999999996</v>
      </c>
      <c r="AQ152" s="561">
        <f>SUM(AQ153:AQ159)</f>
        <v>44204300.219999999</v>
      </c>
      <c r="AR152" s="558">
        <f t="shared" si="346"/>
        <v>44816024.200000003</v>
      </c>
      <c r="AS152" s="558">
        <f t="shared" si="449"/>
        <v>41403600.299999997</v>
      </c>
      <c r="AT152" s="558">
        <f t="shared" si="449"/>
        <v>0</v>
      </c>
      <c r="AU152" s="558">
        <f t="shared" si="449"/>
        <v>1926700</v>
      </c>
      <c r="AV152" s="558">
        <f t="shared" si="349"/>
        <v>0</v>
      </c>
      <c r="AW152" s="558">
        <f>AW153+AW154+AW155+AW156+AW157+AW158+AW159</f>
        <v>873999.91999999993</v>
      </c>
      <c r="AX152" s="545">
        <f t="shared" si="449"/>
        <v>0</v>
      </c>
      <c r="AY152" s="545">
        <f t="shared" si="449"/>
        <v>0</v>
      </c>
      <c r="AZ152" s="545">
        <f t="shared" si="449"/>
        <v>0</v>
      </c>
      <c r="BA152" s="558">
        <f t="shared" si="449"/>
        <v>1926700</v>
      </c>
      <c r="BB152" s="558">
        <f t="shared" si="449"/>
        <v>42277600.219999999</v>
      </c>
      <c r="BC152" s="558">
        <f t="shared" si="449"/>
        <v>55045435.400000006</v>
      </c>
      <c r="BD152" s="558">
        <f>BF152-BC152</f>
        <v>2500633.6199999973</v>
      </c>
      <c r="BE152" s="564">
        <v>59589995.009999998</v>
      </c>
      <c r="BF152" s="562">
        <v>57546069.020000003</v>
      </c>
      <c r="BG152" s="565">
        <f>BE152-BF152</f>
        <v>2043925.9899999946</v>
      </c>
      <c r="BH152" s="876">
        <f>AG152+AH152</f>
        <v>57320435.509999998</v>
      </c>
      <c r="BI152" s="876">
        <f>BH152-AI152</f>
        <v>-291639.13000000268</v>
      </c>
    </row>
    <row r="153" spans="1:62">
      <c r="A153" s="11">
        <v>1</v>
      </c>
      <c r="B153" s="13" t="s">
        <v>71</v>
      </c>
      <c r="C153" s="17">
        <v>3</v>
      </c>
      <c r="D153" s="17"/>
      <c r="E153" s="11">
        <v>2465.8000000000002</v>
      </c>
      <c r="F153" s="11"/>
      <c r="G153" s="555">
        <v>68494.44</v>
      </c>
      <c r="H153" s="545">
        <f>I153+J153+K153</f>
        <v>2465.8000000000002</v>
      </c>
      <c r="I153" s="11">
        <f t="shared" ref="I153:I159" si="450">E153-K153-J153</f>
        <v>2427.6000000000004</v>
      </c>
      <c r="J153" s="11"/>
      <c r="K153" s="11">
        <v>38.200000000000003</v>
      </c>
      <c r="L153" s="545">
        <f t="shared" ref="L153:L159" si="451">M153+N153</f>
        <v>0</v>
      </c>
      <c r="M153" s="11">
        <f>F153-N153</f>
        <v>0</v>
      </c>
      <c r="N153" s="11"/>
      <c r="O153" s="861">
        <f>P153-C153</f>
        <v>0</v>
      </c>
      <c r="P153" s="444">
        <v>3</v>
      </c>
      <c r="Q153" s="17">
        <v>0</v>
      </c>
      <c r="R153" s="555">
        <v>68494.44</v>
      </c>
      <c r="S153" s="555"/>
      <c r="T153" s="554">
        <f>U153+Y153</f>
        <v>2465799.84</v>
      </c>
      <c r="U153" s="554">
        <f t="shared" ref="U153:U159" si="452">ROUND(R153*P153*12,2)</f>
        <v>2465799.84</v>
      </c>
      <c r="V153" s="433">
        <f t="shared" ref="V153:V159" si="453">U153-W153-X153</f>
        <v>2427599.84</v>
      </c>
      <c r="W153" s="11">
        <v>0</v>
      </c>
      <c r="X153" s="433">
        <v>38200</v>
      </c>
      <c r="Y153" s="554">
        <f t="shared" ref="Y153:Y159" si="454">ROUND(S153*Q153*12,2)</f>
        <v>0</v>
      </c>
      <c r="Z153" s="433">
        <f t="shared" ref="Z153:Z159" si="455">Y153-AA153-AB153</f>
        <v>0</v>
      </c>
      <c r="AA153" s="11">
        <v>0</v>
      </c>
      <c r="AB153" s="11">
        <v>0</v>
      </c>
      <c r="AC153" s="554">
        <f t="shared" ref="AC153:AC159" si="456">AD153+AE153+AF153</f>
        <v>2465799.84</v>
      </c>
      <c r="AD153" s="433">
        <f t="shared" ref="AD153:AD159" si="457">ROUND((Z153+V153),2)</f>
        <v>2427599.84</v>
      </c>
      <c r="AE153" s="433">
        <f t="shared" ref="AE153:AF159" si="458">AA153+W153</f>
        <v>0</v>
      </c>
      <c r="AF153" s="433">
        <f t="shared" si="458"/>
        <v>38200</v>
      </c>
      <c r="AG153" s="739">
        <f t="shared" ref="AG153:AG159" si="459">ROUND(AD153*1.302,2)</f>
        <v>3160734.99</v>
      </c>
      <c r="AH153" s="11">
        <v>2275000</v>
      </c>
      <c r="AI153" s="1084"/>
      <c r="AJ153" s="850"/>
      <c r="AK153" s="850"/>
      <c r="AL153" s="557">
        <v>68494.44</v>
      </c>
      <c r="AM153" s="557">
        <f t="shared" si="448"/>
        <v>0</v>
      </c>
      <c r="AN153" s="1233">
        <f>AO153-P153</f>
        <v>0</v>
      </c>
      <c r="AO153" s="17">
        <v>3</v>
      </c>
      <c r="AP153" s="17"/>
      <c r="AQ153" s="554">
        <f>AR153+AV153</f>
        <v>2465799.7999999998</v>
      </c>
      <c r="AR153" s="558">
        <f t="shared" si="346"/>
        <v>2465799.7999999998</v>
      </c>
      <c r="AS153" s="433">
        <f t="shared" ref="AS153:AS159" si="460">AR153-AT153-AU153</f>
        <v>2427599.7999999998</v>
      </c>
      <c r="AT153" s="433">
        <f>W153</f>
        <v>0</v>
      </c>
      <c r="AU153" s="433">
        <f t="shared" ref="AU153:AU159" si="461">X153</f>
        <v>38200</v>
      </c>
      <c r="AV153" s="558">
        <f t="shared" si="349"/>
        <v>0</v>
      </c>
      <c r="AW153" s="433">
        <f t="shared" ref="AW153:AW159" si="462">AV153-AX153-AY153</f>
        <v>0</v>
      </c>
      <c r="AX153" s="11">
        <f t="shared" ref="AX153:AY159" si="463">AA153</f>
        <v>0</v>
      </c>
      <c r="AY153" s="11">
        <f t="shared" si="463"/>
        <v>0</v>
      </c>
      <c r="AZ153" s="18">
        <f>AX153+AT153</f>
        <v>0</v>
      </c>
      <c r="BA153" s="740">
        <f t="shared" ref="BA153:BA159" si="464">AY153+AU153</f>
        <v>38200</v>
      </c>
      <c r="BB153" s="741">
        <f>AW153+AS153</f>
        <v>2427599.7999999998</v>
      </c>
      <c r="BC153" s="739">
        <f>ROUND(BB153*1.302,1)</f>
        <v>3160734.9</v>
      </c>
      <c r="BD153" s="544"/>
      <c r="BE153" s="11"/>
      <c r="BF153" s="445"/>
      <c r="BG153" s="11"/>
      <c r="BH153" s="11"/>
      <c r="BI153" s="11"/>
    </row>
    <row r="154" spans="1:62">
      <c r="A154" s="11">
        <v>2</v>
      </c>
      <c r="B154" s="13" t="s">
        <v>72</v>
      </c>
      <c r="C154" s="17">
        <v>6.5</v>
      </c>
      <c r="D154" s="17">
        <v>1</v>
      </c>
      <c r="E154" s="11">
        <v>4535.6000000000004</v>
      </c>
      <c r="F154" s="11">
        <v>273.10000000000002</v>
      </c>
      <c r="G154" s="555">
        <v>58148.72</v>
      </c>
      <c r="H154" s="545">
        <f t="shared" ref="H154:H159" si="465">I154+J154+K154</f>
        <v>4535.6000000000004</v>
      </c>
      <c r="I154" s="11">
        <f t="shared" si="450"/>
        <v>4400.9000000000005</v>
      </c>
      <c r="J154" s="11"/>
      <c r="K154" s="11">
        <v>134.69999999999999</v>
      </c>
      <c r="L154" s="545">
        <f t="shared" si="451"/>
        <v>273.10000000000002</v>
      </c>
      <c r="M154" s="11">
        <f t="shared" ref="M154:M159" si="466">F154-N154</f>
        <v>273.10000000000002</v>
      </c>
      <c r="N154" s="11"/>
      <c r="O154" s="861">
        <f t="shared" ref="O154:O159" si="467">P154-C154</f>
        <v>-2.5</v>
      </c>
      <c r="P154" s="444">
        <v>4</v>
      </c>
      <c r="Q154" s="17">
        <v>1</v>
      </c>
      <c r="R154" s="555">
        <v>58148.72</v>
      </c>
      <c r="S154" s="555">
        <f t="shared" ref="S154:S159" si="468">ROUND(F154/D154/12*1000,2)</f>
        <v>22758.33</v>
      </c>
      <c r="T154" s="554">
        <f t="shared" ref="T154:T159" si="469">U154+Y154</f>
        <v>3064238.52</v>
      </c>
      <c r="U154" s="554">
        <f t="shared" si="452"/>
        <v>2791138.56</v>
      </c>
      <c r="V154" s="433">
        <f t="shared" si="453"/>
        <v>2688838.56</v>
      </c>
      <c r="W154" s="11">
        <v>0</v>
      </c>
      <c r="X154" s="433">
        <v>102300</v>
      </c>
      <c r="Y154" s="554">
        <f t="shared" si="454"/>
        <v>273099.96000000002</v>
      </c>
      <c r="Z154" s="433">
        <f t="shared" si="455"/>
        <v>273099.96000000002</v>
      </c>
      <c r="AA154" s="11">
        <v>0</v>
      </c>
      <c r="AB154" s="11">
        <v>0</v>
      </c>
      <c r="AC154" s="554">
        <f t="shared" si="456"/>
        <v>3064238.52</v>
      </c>
      <c r="AD154" s="433">
        <f t="shared" si="457"/>
        <v>2961938.52</v>
      </c>
      <c r="AE154" s="433">
        <f t="shared" si="458"/>
        <v>0</v>
      </c>
      <c r="AF154" s="433">
        <f t="shared" si="458"/>
        <v>102300</v>
      </c>
      <c r="AG154" s="739">
        <f t="shared" si="459"/>
        <v>3856443.95</v>
      </c>
      <c r="AH154" s="433">
        <f>AH152-AH153</f>
        <v>0</v>
      </c>
      <c r="AI154" s="1084"/>
      <c r="AJ154" s="850"/>
      <c r="AK154" s="850"/>
      <c r="AL154" s="557">
        <v>58148.72</v>
      </c>
      <c r="AM154" s="557">
        <f t="shared" si="448"/>
        <v>22758.33</v>
      </c>
      <c r="AN154" s="1233"/>
      <c r="AO154" s="17">
        <v>4</v>
      </c>
      <c r="AP154" s="17">
        <v>1</v>
      </c>
      <c r="AQ154" s="554">
        <f t="shared" ref="AQ154:AQ159" si="470">AR154+AV154</f>
        <v>3064238.56</v>
      </c>
      <c r="AR154" s="558">
        <f t="shared" si="346"/>
        <v>2791138.6</v>
      </c>
      <c r="AS154" s="433">
        <f t="shared" si="460"/>
        <v>2688838.6</v>
      </c>
      <c r="AT154" s="433">
        <f t="shared" ref="AT154:AT159" si="471">W154</f>
        <v>0</v>
      </c>
      <c r="AU154" s="433">
        <f t="shared" si="461"/>
        <v>102300</v>
      </c>
      <c r="AV154" s="558">
        <f t="shared" si="349"/>
        <v>273099.96000000002</v>
      </c>
      <c r="AW154" s="433">
        <f t="shared" si="462"/>
        <v>273099.96000000002</v>
      </c>
      <c r="AX154" s="11">
        <f t="shared" si="463"/>
        <v>0</v>
      </c>
      <c r="AY154" s="11">
        <f t="shared" si="463"/>
        <v>0</v>
      </c>
      <c r="AZ154" s="18">
        <f t="shared" ref="AZ154:AZ159" si="472">AX154+AT154</f>
        <v>0</v>
      </c>
      <c r="BA154" s="740">
        <f t="shared" si="464"/>
        <v>102300</v>
      </c>
      <c r="BB154" s="741">
        <f t="shared" ref="BB154:BB159" si="473">AW154+AS154</f>
        <v>2961938.56</v>
      </c>
      <c r="BC154" s="739">
        <f t="shared" ref="BC154:BC159" si="474">ROUND(BB154*1.302,1)</f>
        <v>3856444</v>
      </c>
      <c r="BD154" s="544"/>
      <c r="BE154" s="11"/>
      <c r="BF154" s="445"/>
      <c r="BG154" s="11"/>
      <c r="BH154" s="11"/>
      <c r="BI154" s="11"/>
    </row>
    <row r="155" spans="1:62">
      <c r="A155" s="11">
        <v>3</v>
      </c>
      <c r="B155" s="14" t="s">
        <v>76</v>
      </c>
      <c r="C155" s="17">
        <v>75.7</v>
      </c>
      <c r="D155" s="17">
        <v>1.1000000000000001</v>
      </c>
      <c r="E155" s="11">
        <v>24983.5</v>
      </c>
      <c r="F155" s="11">
        <v>302.5</v>
      </c>
      <c r="G155" s="29">
        <v>27502.75</v>
      </c>
      <c r="H155" s="545">
        <f t="shared" si="465"/>
        <v>24983.5</v>
      </c>
      <c r="I155" s="11">
        <f t="shared" si="450"/>
        <v>23339.9</v>
      </c>
      <c r="J155" s="11"/>
      <c r="K155" s="11">
        <v>1643.6</v>
      </c>
      <c r="L155" s="545">
        <f t="shared" si="451"/>
        <v>302.5</v>
      </c>
      <c r="M155" s="11">
        <f t="shared" si="466"/>
        <v>302.5</v>
      </c>
      <c r="N155" s="11"/>
      <c r="O155" s="861">
        <f t="shared" si="467"/>
        <v>4.2999999999999972</v>
      </c>
      <c r="P155" s="444">
        <v>80</v>
      </c>
      <c r="Q155" s="17">
        <v>1.1000000000000001</v>
      </c>
      <c r="R155" s="29">
        <v>27502.75</v>
      </c>
      <c r="S155" s="555">
        <f t="shared" si="468"/>
        <v>22916.67</v>
      </c>
      <c r="T155" s="554">
        <f t="shared" si="469"/>
        <v>26705140.039999999</v>
      </c>
      <c r="U155" s="554">
        <f t="shared" si="452"/>
        <v>26402640</v>
      </c>
      <c r="V155" s="433">
        <f t="shared" si="453"/>
        <v>24723640</v>
      </c>
      <c r="W155" s="11">
        <v>0</v>
      </c>
      <c r="X155" s="433">
        <v>1679000</v>
      </c>
      <c r="Y155" s="554">
        <f t="shared" si="454"/>
        <v>302500.03999999998</v>
      </c>
      <c r="Z155" s="433">
        <f t="shared" si="455"/>
        <v>302500.03999999998</v>
      </c>
      <c r="AA155" s="11">
        <v>0</v>
      </c>
      <c r="AB155" s="11">
        <v>0</v>
      </c>
      <c r="AC155" s="554">
        <f t="shared" si="456"/>
        <v>26705140.039999999</v>
      </c>
      <c r="AD155" s="433">
        <f t="shared" si="457"/>
        <v>25026140.039999999</v>
      </c>
      <c r="AE155" s="433">
        <f t="shared" si="458"/>
        <v>0</v>
      </c>
      <c r="AF155" s="433">
        <f t="shared" si="458"/>
        <v>1679000</v>
      </c>
      <c r="AG155" s="739">
        <f t="shared" si="459"/>
        <v>32584034.329999998</v>
      </c>
      <c r="AH155" s="11"/>
      <c r="AI155" s="1084"/>
      <c r="AJ155" s="850"/>
      <c r="AK155" s="850"/>
      <c r="AL155" s="440">
        <v>27502.75</v>
      </c>
      <c r="AM155" s="557">
        <f t="shared" si="448"/>
        <v>22916.67</v>
      </c>
      <c r="AN155" s="1233"/>
      <c r="AO155" s="17">
        <v>80</v>
      </c>
      <c r="AP155" s="17">
        <v>1.1000000000000001</v>
      </c>
      <c r="AQ155" s="554">
        <f t="shared" si="470"/>
        <v>26705140.039999999</v>
      </c>
      <c r="AR155" s="558">
        <f t="shared" si="346"/>
        <v>26402640</v>
      </c>
      <c r="AS155" s="433">
        <f t="shared" si="460"/>
        <v>24723640</v>
      </c>
      <c r="AT155" s="433">
        <f t="shared" si="471"/>
        <v>0</v>
      </c>
      <c r="AU155" s="433">
        <f t="shared" si="461"/>
        <v>1679000</v>
      </c>
      <c r="AV155" s="558">
        <f t="shared" si="349"/>
        <v>302500.03999999998</v>
      </c>
      <c r="AW155" s="433">
        <f t="shared" si="462"/>
        <v>302500.03999999998</v>
      </c>
      <c r="AX155" s="11">
        <f t="shared" si="463"/>
        <v>0</v>
      </c>
      <c r="AY155" s="11">
        <f t="shared" si="463"/>
        <v>0</v>
      </c>
      <c r="AZ155" s="18">
        <f t="shared" si="472"/>
        <v>0</v>
      </c>
      <c r="BA155" s="740">
        <f t="shared" si="464"/>
        <v>1679000</v>
      </c>
      <c r="BB155" s="741">
        <f t="shared" si="473"/>
        <v>25026140.039999999</v>
      </c>
      <c r="BC155" s="739">
        <f t="shared" si="474"/>
        <v>32584034.300000001</v>
      </c>
      <c r="BD155" s="544"/>
      <c r="BE155" s="11"/>
      <c r="BF155" s="445"/>
      <c r="BG155" s="11"/>
      <c r="BH155" s="11"/>
      <c r="BI155" s="11"/>
    </row>
    <row r="156" spans="1:62">
      <c r="A156" s="11">
        <v>4</v>
      </c>
      <c r="B156" s="14" t="s">
        <v>77</v>
      </c>
      <c r="C156" s="17">
        <v>2</v>
      </c>
      <c r="D156" s="17">
        <v>0</v>
      </c>
      <c r="E156" s="11">
        <v>460.7</v>
      </c>
      <c r="F156" s="11">
        <v>0</v>
      </c>
      <c r="G156" s="432">
        <v>19195.830000000002</v>
      </c>
      <c r="H156" s="545">
        <f t="shared" si="465"/>
        <v>460.7</v>
      </c>
      <c r="I156" s="11">
        <f t="shared" si="450"/>
        <v>435.09999999999997</v>
      </c>
      <c r="J156" s="11"/>
      <c r="K156" s="11">
        <v>25.6</v>
      </c>
      <c r="L156" s="545">
        <f t="shared" si="451"/>
        <v>0</v>
      </c>
      <c r="M156" s="11">
        <f t="shared" si="466"/>
        <v>0</v>
      </c>
      <c r="N156" s="11"/>
      <c r="O156" s="861">
        <f t="shared" si="467"/>
        <v>0</v>
      </c>
      <c r="P156" s="444">
        <v>2</v>
      </c>
      <c r="Q156" s="17"/>
      <c r="R156" s="432">
        <v>19195.830000000002</v>
      </c>
      <c r="S156" s="555"/>
      <c r="T156" s="554">
        <f t="shared" si="469"/>
        <v>460699.92</v>
      </c>
      <c r="U156" s="554">
        <f t="shared" si="452"/>
        <v>460699.92</v>
      </c>
      <c r="V156" s="433">
        <f t="shared" si="453"/>
        <v>435099.92</v>
      </c>
      <c r="W156" s="11">
        <v>0</v>
      </c>
      <c r="X156" s="433">
        <v>25600</v>
      </c>
      <c r="Y156" s="554">
        <f t="shared" si="454"/>
        <v>0</v>
      </c>
      <c r="Z156" s="433">
        <f t="shared" si="455"/>
        <v>0</v>
      </c>
      <c r="AA156" s="11">
        <v>0</v>
      </c>
      <c r="AB156" s="11">
        <v>0</v>
      </c>
      <c r="AC156" s="554">
        <f t="shared" si="456"/>
        <v>460699.92</v>
      </c>
      <c r="AD156" s="433">
        <f t="shared" si="457"/>
        <v>435099.92</v>
      </c>
      <c r="AE156" s="433">
        <f t="shared" si="458"/>
        <v>0</v>
      </c>
      <c r="AF156" s="433">
        <f t="shared" si="458"/>
        <v>25600</v>
      </c>
      <c r="AG156" s="739">
        <f t="shared" si="459"/>
        <v>566500.1</v>
      </c>
      <c r="AH156" s="11"/>
      <c r="AI156" s="1084"/>
      <c r="AJ156" s="850"/>
      <c r="AK156" s="850"/>
      <c r="AL156" s="441">
        <v>19195.830000000002</v>
      </c>
      <c r="AM156" s="557">
        <f t="shared" si="448"/>
        <v>0</v>
      </c>
      <c r="AN156" s="1233"/>
      <c r="AO156" s="17">
        <v>2</v>
      </c>
      <c r="AP156" s="17"/>
      <c r="AQ156" s="554">
        <f t="shared" si="470"/>
        <v>460699.9</v>
      </c>
      <c r="AR156" s="558">
        <f t="shared" si="346"/>
        <v>460699.9</v>
      </c>
      <c r="AS156" s="433">
        <f t="shared" si="460"/>
        <v>435099.9</v>
      </c>
      <c r="AT156" s="433">
        <f t="shared" si="471"/>
        <v>0</v>
      </c>
      <c r="AU156" s="433">
        <f t="shared" si="461"/>
        <v>25600</v>
      </c>
      <c r="AV156" s="558">
        <f t="shared" si="349"/>
        <v>0</v>
      </c>
      <c r="AW156" s="433">
        <f t="shared" si="462"/>
        <v>0</v>
      </c>
      <c r="AX156" s="11">
        <f t="shared" si="463"/>
        <v>0</v>
      </c>
      <c r="AY156" s="11">
        <f t="shared" si="463"/>
        <v>0</v>
      </c>
      <c r="AZ156" s="18">
        <f t="shared" si="472"/>
        <v>0</v>
      </c>
      <c r="BA156" s="740">
        <f t="shared" si="464"/>
        <v>25600</v>
      </c>
      <c r="BB156" s="741">
        <f t="shared" si="473"/>
        <v>435099.9</v>
      </c>
      <c r="BC156" s="739">
        <f t="shared" si="474"/>
        <v>566500.1</v>
      </c>
      <c r="BD156" s="544"/>
      <c r="BE156" s="11"/>
      <c r="BF156" s="445"/>
      <c r="BG156" s="11"/>
      <c r="BH156" s="11"/>
      <c r="BI156" s="11"/>
    </row>
    <row r="157" spans="1:62">
      <c r="A157" s="11">
        <v>5</v>
      </c>
      <c r="B157" s="13" t="s">
        <v>73</v>
      </c>
      <c r="C157" s="17"/>
      <c r="D157" s="17"/>
      <c r="E157" s="11"/>
      <c r="F157" s="11"/>
      <c r="G157" s="555"/>
      <c r="H157" s="545">
        <f t="shared" si="465"/>
        <v>0</v>
      </c>
      <c r="I157" s="11">
        <f t="shared" si="450"/>
        <v>0</v>
      </c>
      <c r="J157" s="11"/>
      <c r="K157" s="11"/>
      <c r="L157" s="545">
        <f t="shared" si="451"/>
        <v>0</v>
      </c>
      <c r="M157" s="11">
        <f t="shared" si="466"/>
        <v>0</v>
      </c>
      <c r="N157" s="11"/>
      <c r="O157" s="861">
        <f t="shared" si="467"/>
        <v>0</v>
      </c>
      <c r="P157" s="444"/>
      <c r="Q157" s="17"/>
      <c r="R157" s="555"/>
      <c r="S157" s="555"/>
      <c r="T157" s="554">
        <f t="shared" si="469"/>
        <v>0</v>
      </c>
      <c r="U157" s="554">
        <f t="shared" si="452"/>
        <v>0</v>
      </c>
      <c r="V157" s="433">
        <f t="shared" si="453"/>
        <v>0</v>
      </c>
      <c r="W157" s="11">
        <v>0</v>
      </c>
      <c r="X157" s="433">
        <v>0</v>
      </c>
      <c r="Y157" s="554">
        <f t="shared" si="454"/>
        <v>0</v>
      </c>
      <c r="Z157" s="433">
        <f t="shared" si="455"/>
        <v>0</v>
      </c>
      <c r="AA157" s="11">
        <v>0</v>
      </c>
      <c r="AB157" s="11">
        <v>0</v>
      </c>
      <c r="AC157" s="554">
        <f t="shared" si="456"/>
        <v>0</v>
      </c>
      <c r="AD157" s="433">
        <f t="shared" si="457"/>
        <v>0</v>
      </c>
      <c r="AE157" s="433">
        <f t="shared" si="458"/>
        <v>0</v>
      </c>
      <c r="AF157" s="433">
        <f t="shared" si="458"/>
        <v>0</v>
      </c>
      <c r="AG157" s="739">
        <f t="shared" si="459"/>
        <v>0</v>
      </c>
      <c r="AH157" s="11"/>
      <c r="AI157" s="1084"/>
      <c r="AJ157" s="850"/>
      <c r="AK157" s="850"/>
      <c r="AL157" s="557"/>
      <c r="AM157" s="557">
        <f t="shared" si="448"/>
        <v>0</v>
      </c>
      <c r="AN157" s="1233"/>
      <c r="AO157" s="17"/>
      <c r="AP157" s="17"/>
      <c r="AQ157" s="554">
        <f t="shared" si="470"/>
        <v>0</v>
      </c>
      <c r="AR157" s="558">
        <f t="shared" si="346"/>
        <v>0</v>
      </c>
      <c r="AS157" s="433">
        <f t="shared" si="460"/>
        <v>0</v>
      </c>
      <c r="AT157" s="433">
        <f t="shared" si="471"/>
        <v>0</v>
      </c>
      <c r="AU157" s="433">
        <f t="shared" si="461"/>
        <v>0</v>
      </c>
      <c r="AV157" s="558">
        <f t="shared" si="349"/>
        <v>0</v>
      </c>
      <c r="AW157" s="433">
        <f t="shared" si="462"/>
        <v>0</v>
      </c>
      <c r="AX157" s="11">
        <f t="shared" si="463"/>
        <v>0</v>
      </c>
      <c r="AY157" s="11">
        <f t="shared" si="463"/>
        <v>0</v>
      </c>
      <c r="AZ157" s="18">
        <f t="shared" si="472"/>
        <v>0</v>
      </c>
      <c r="BA157" s="740">
        <f t="shared" si="464"/>
        <v>0</v>
      </c>
      <c r="BB157" s="741">
        <f t="shared" si="473"/>
        <v>0</v>
      </c>
      <c r="BC157" s="739">
        <f t="shared" si="474"/>
        <v>0</v>
      </c>
      <c r="BD157" s="544"/>
      <c r="BE157" s="11"/>
      <c r="BF157" s="445"/>
      <c r="BG157" s="11"/>
      <c r="BH157" s="11"/>
      <c r="BI157" s="11"/>
    </row>
    <row r="158" spans="1:62">
      <c r="A158" s="11">
        <v>6</v>
      </c>
      <c r="B158" s="13" t="s">
        <v>74</v>
      </c>
      <c r="C158" s="17"/>
      <c r="D158" s="17"/>
      <c r="E158" s="11"/>
      <c r="F158" s="11"/>
      <c r="G158" s="555"/>
      <c r="H158" s="545">
        <f t="shared" si="465"/>
        <v>0</v>
      </c>
      <c r="I158" s="11">
        <f t="shared" si="450"/>
        <v>0</v>
      </c>
      <c r="J158" s="11"/>
      <c r="K158" s="11"/>
      <c r="L158" s="545">
        <f t="shared" si="451"/>
        <v>0</v>
      </c>
      <c r="M158" s="11">
        <f t="shared" si="466"/>
        <v>0</v>
      </c>
      <c r="N158" s="11"/>
      <c r="O158" s="861">
        <f t="shared" si="467"/>
        <v>0</v>
      </c>
      <c r="P158" s="444"/>
      <c r="Q158" s="17"/>
      <c r="R158" s="555"/>
      <c r="S158" s="555"/>
      <c r="T158" s="554">
        <f t="shared" si="469"/>
        <v>0</v>
      </c>
      <c r="U158" s="554">
        <f t="shared" si="452"/>
        <v>0</v>
      </c>
      <c r="V158" s="433">
        <f t="shared" si="453"/>
        <v>0</v>
      </c>
      <c r="W158" s="11">
        <v>0</v>
      </c>
      <c r="X158" s="433">
        <v>0</v>
      </c>
      <c r="Y158" s="554">
        <f t="shared" si="454"/>
        <v>0</v>
      </c>
      <c r="Z158" s="433">
        <f t="shared" si="455"/>
        <v>0</v>
      </c>
      <c r="AA158" s="11">
        <v>0</v>
      </c>
      <c r="AB158" s="11">
        <v>0</v>
      </c>
      <c r="AC158" s="554">
        <f t="shared" si="456"/>
        <v>0</v>
      </c>
      <c r="AD158" s="433">
        <f t="shared" si="457"/>
        <v>0</v>
      </c>
      <c r="AE158" s="433">
        <f t="shared" si="458"/>
        <v>0</v>
      </c>
      <c r="AF158" s="433">
        <f t="shared" si="458"/>
        <v>0</v>
      </c>
      <c r="AG158" s="739">
        <f t="shared" si="459"/>
        <v>0</v>
      </c>
      <c r="AH158" s="11"/>
      <c r="AI158" s="1084"/>
      <c r="AJ158" s="850"/>
      <c r="AK158" s="850"/>
      <c r="AL158" s="557"/>
      <c r="AM158" s="557">
        <f t="shared" si="448"/>
        <v>0</v>
      </c>
      <c r="AN158" s="1233"/>
      <c r="AO158" s="17"/>
      <c r="AP158" s="17"/>
      <c r="AQ158" s="554">
        <f t="shared" si="470"/>
        <v>0</v>
      </c>
      <c r="AR158" s="558">
        <f t="shared" si="346"/>
        <v>0</v>
      </c>
      <c r="AS158" s="433">
        <f t="shared" si="460"/>
        <v>0</v>
      </c>
      <c r="AT158" s="433">
        <f t="shared" si="471"/>
        <v>0</v>
      </c>
      <c r="AU158" s="433">
        <f t="shared" si="461"/>
        <v>0</v>
      </c>
      <c r="AV158" s="558">
        <f t="shared" si="349"/>
        <v>0</v>
      </c>
      <c r="AW158" s="433">
        <f t="shared" si="462"/>
        <v>0</v>
      </c>
      <c r="AX158" s="11">
        <f t="shared" si="463"/>
        <v>0</v>
      </c>
      <c r="AY158" s="11">
        <f t="shared" si="463"/>
        <v>0</v>
      </c>
      <c r="AZ158" s="18">
        <f t="shared" si="472"/>
        <v>0</v>
      </c>
      <c r="BA158" s="740">
        <f t="shared" si="464"/>
        <v>0</v>
      </c>
      <c r="BB158" s="741">
        <f t="shared" si="473"/>
        <v>0</v>
      </c>
      <c r="BC158" s="739">
        <f t="shared" si="474"/>
        <v>0</v>
      </c>
      <c r="BD158" s="544"/>
      <c r="BE158" s="11"/>
      <c r="BF158" s="445"/>
      <c r="BG158" s="11"/>
      <c r="BH158" s="11"/>
      <c r="BI158" s="11"/>
    </row>
    <row r="159" spans="1:62">
      <c r="A159" s="11">
        <v>7</v>
      </c>
      <c r="B159" s="1131" t="s">
        <v>814</v>
      </c>
      <c r="C159" s="17">
        <v>69.599999999999994</v>
      </c>
      <c r="D159" s="17">
        <v>2</v>
      </c>
      <c r="E159" s="11">
        <v>10402.9</v>
      </c>
      <c r="F159" s="11">
        <v>298.39999999999998</v>
      </c>
      <c r="G159" s="555">
        <v>12455.58</v>
      </c>
      <c r="H159" s="545">
        <f t="shared" si="465"/>
        <v>10402.9</v>
      </c>
      <c r="I159" s="11">
        <f t="shared" si="450"/>
        <v>10321.299999999999</v>
      </c>
      <c r="J159" s="11"/>
      <c r="K159" s="11">
        <v>81.599999999999994</v>
      </c>
      <c r="L159" s="545">
        <f t="shared" si="451"/>
        <v>298.39999999999998</v>
      </c>
      <c r="M159" s="11">
        <f t="shared" si="466"/>
        <v>298.39999999999998</v>
      </c>
      <c r="N159" s="11"/>
      <c r="O159" s="861">
        <f t="shared" si="467"/>
        <v>5.4000000000000057</v>
      </c>
      <c r="P159" s="444">
        <v>75</v>
      </c>
      <c r="Q159" s="17">
        <v>2</v>
      </c>
      <c r="R159" s="555">
        <v>12455.58</v>
      </c>
      <c r="S159" s="555">
        <f t="shared" si="468"/>
        <v>12433.33</v>
      </c>
      <c r="T159" s="554">
        <f t="shared" si="469"/>
        <v>11508421.92</v>
      </c>
      <c r="U159" s="554">
        <f t="shared" si="452"/>
        <v>11210022</v>
      </c>
      <c r="V159" s="433">
        <f t="shared" si="453"/>
        <v>11128422</v>
      </c>
      <c r="W159" s="11">
        <v>0</v>
      </c>
      <c r="X159" s="433">
        <v>81600</v>
      </c>
      <c r="Y159" s="554">
        <f t="shared" si="454"/>
        <v>298399.92</v>
      </c>
      <c r="Z159" s="433">
        <f t="shared" si="455"/>
        <v>298399.92</v>
      </c>
      <c r="AA159" s="11">
        <v>0</v>
      </c>
      <c r="AB159" s="11">
        <v>0</v>
      </c>
      <c r="AC159" s="554">
        <f t="shared" si="456"/>
        <v>11508421.92</v>
      </c>
      <c r="AD159" s="433">
        <f t="shared" si="457"/>
        <v>11426821.92</v>
      </c>
      <c r="AE159" s="433">
        <f t="shared" si="458"/>
        <v>0</v>
      </c>
      <c r="AF159" s="433">
        <f t="shared" si="458"/>
        <v>81600</v>
      </c>
      <c r="AG159" s="739">
        <f t="shared" si="459"/>
        <v>14877722.140000001</v>
      </c>
      <c r="AH159" s="11"/>
      <c r="AI159" s="1084"/>
      <c r="AJ159" s="850"/>
      <c r="AK159" s="850"/>
      <c r="AL159" s="557">
        <v>12455.58</v>
      </c>
      <c r="AM159" s="557">
        <f t="shared" si="448"/>
        <v>12433.33</v>
      </c>
      <c r="AN159" s="1233"/>
      <c r="AO159" s="17">
        <v>75</v>
      </c>
      <c r="AP159" s="17">
        <v>2</v>
      </c>
      <c r="AQ159" s="554">
        <f t="shared" si="470"/>
        <v>11508421.92</v>
      </c>
      <c r="AR159" s="558">
        <f t="shared" si="346"/>
        <v>11210022</v>
      </c>
      <c r="AS159" s="433">
        <f t="shared" si="460"/>
        <v>11128422</v>
      </c>
      <c r="AT159" s="433">
        <f t="shared" si="471"/>
        <v>0</v>
      </c>
      <c r="AU159" s="433">
        <f t="shared" si="461"/>
        <v>81600</v>
      </c>
      <c r="AV159" s="558">
        <f t="shared" si="349"/>
        <v>298399.92</v>
      </c>
      <c r="AW159" s="433">
        <f t="shared" si="462"/>
        <v>298399.92</v>
      </c>
      <c r="AX159" s="11">
        <f t="shared" si="463"/>
        <v>0</v>
      </c>
      <c r="AY159" s="11">
        <f t="shared" si="463"/>
        <v>0</v>
      </c>
      <c r="AZ159" s="18">
        <f t="shared" si="472"/>
        <v>0</v>
      </c>
      <c r="BA159" s="740">
        <f t="shared" si="464"/>
        <v>81600</v>
      </c>
      <c r="BB159" s="741">
        <f t="shared" si="473"/>
        <v>11426821.92</v>
      </c>
      <c r="BC159" s="739">
        <f t="shared" si="474"/>
        <v>14877722.1</v>
      </c>
      <c r="BD159" s="544"/>
      <c r="BE159" s="11"/>
      <c r="BF159" s="445"/>
      <c r="BG159" s="11"/>
      <c r="BH159" s="11"/>
      <c r="BI159" s="11"/>
    </row>
    <row r="160" spans="1:62">
      <c r="A160" s="11"/>
      <c r="B160" s="1132" t="s">
        <v>815</v>
      </c>
      <c r="C160" s="17"/>
      <c r="D160" s="17"/>
      <c r="E160" s="11"/>
      <c r="F160" s="11"/>
      <c r="G160" s="555"/>
      <c r="H160" s="545"/>
      <c r="I160" s="11"/>
      <c r="J160" s="11"/>
      <c r="K160" s="11"/>
      <c r="L160" s="545"/>
      <c r="M160" s="11"/>
      <c r="N160" s="11"/>
      <c r="O160" s="861"/>
      <c r="P160" s="444"/>
      <c r="Q160" s="17"/>
      <c r="R160" s="555"/>
      <c r="S160" s="555"/>
      <c r="T160" s="554"/>
      <c r="U160" s="554"/>
      <c r="V160" s="433"/>
      <c r="W160" s="11"/>
      <c r="X160" s="433"/>
      <c r="Y160" s="554"/>
      <c r="Z160" s="433"/>
      <c r="AA160" s="11"/>
      <c r="AB160" s="11"/>
      <c r="AC160" s="554"/>
      <c r="AD160" s="433"/>
      <c r="AE160" s="433"/>
      <c r="AF160" s="433"/>
      <c r="AG160" s="739"/>
      <c r="AH160" s="11"/>
      <c r="AI160" s="1084"/>
      <c r="AJ160" s="850"/>
      <c r="AK160" s="850"/>
      <c r="AL160" s="557"/>
      <c r="AM160" s="557"/>
      <c r="AN160" s="1233">
        <f>AO160-P160</f>
        <v>0</v>
      </c>
      <c r="AO160" s="17"/>
      <c r="AP160" s="17"/>
      <c r="AQ160" s="554"/>
      <c r="AR160" s="558"/>
      <c r="AS160" s="433"/>
      <c r="AT160" s="433"/>
      <c r="AU160" s="433"/>
      <c r="AV160" s="558"/>
      <c r="AW160" s="433"/>
      <c r="AX160" s="11"/>
      <c r="AY160" s="11"/>
      <c r="AZ160" s="18"/>
      <c r="BA160" s="740"/>
      <c r="BB160" s="741"/>
      <c r="BC160" s="739"/>
      <c r="BD160" s="544"/>
      <c r="BE160" s="1045"/>
      <c r="BF160" s="445"/>
      <c r="BG160" s="1045"/>
      <c r="BH160" s="11"/>
      <c r="BI160" s="11"/>
    </row>
    <row r="161" spans="1:63" ht="19.149999999999999" customHeight="1">
      <c r="A161" s="545">
        <v>17</v>
      </c>
      <c r="B161" s="426" t="s">
        <v>231</v>
      </c>
      <c r="C161" s="545">
        <f>C162+C163+C164+C165+C166+C167+C168</f>
        <v>344.8</v>
      </c>
      <c r="D161" s="545">
        <f>D162+D163+D164+D165+D166+D167+D168</f>
        <v>20.6</v>
      </c>
      <c r="E161" s="545">
        <f>SUM(E162:E168)</f>
        <v>81624</v>
      </c>
      <c r="F161" s="545">
        <f t="shared" ref="F161:AG161" si="475">F162+F163+F164+F165+F166+F167+F168</f>
        <v>2893.5</v>
      </c>
      <c r="G161" s="558">
        <v>19727.38</v>
      </c>
      <c r="H161" s="545">
        <f t="shared" si="475"/>
        <v>81624</v>
      </c>
      <c r="I161" s="545">
        <f t="shared" si="475"/>
        <v>78014.8</v>
      </c>
      <c r="J161" s="545">
        <f t="shared" si="475"/>
        <v>0</v>
      </c>
      <c r="K161" s="545">
        <f t="shared" si="475"/>
        <v>3609.2000000000003</v>
      </c>
      <c r="L161" s="545">
        <f t="shared" si="475"/>
        <v>2893.5</v>
      </c>
      <c r="M161" s="545">
        <f t="shared" si="475"/>
        <v>2893.5</v>
      </c>
      <c r="N161" s="545">
        <f t="shared" si="475"/>
        <v>0</v>
      </c>
      <c r="O161" s="559">
        <f t="shared" si="475"/>
        <v>14.000000000000011</v>
      </c>
      <c r="P161" s="560">
        <f t="shared" si="475"/>
        <v>358.8</v>
      </c>
      <c r="Q161" s="545">
        <f t="shared" si="475"/>
        <v>17.5</v>
      </c>
      <c r="R161" s="558">
        <v>19727.38</v>
      </c>
      <c r="S161" s="558"/>
      <c r="T161" s="558">
        <f>SUM(T162:T168)</f>
        <v>87246703.670000002</v>
      </c>
      <c r="U161" s="558">
        <f t="shared" ref="U161:AB161" si="476">U162+U163+U164+U165+U166+U167+U168</f>
        <v>84575790.480000004</v>
      </c>
      <c r="V161" s="558">
        <f t="shared" si="476"/>
        <v>81368490.480000004</v>
      </c>
      <c r="W161" s="545">
        <f t="shared" si="476"/>
        <v>0</v>
      </c>
      <c r="X161" s="545">
        <f t="shared" si="476"/>
        <v>3207300</v>
      </c>
      <c r="Y161" s="545">
        <f t="shared" si="476"/>
        <v>2670913.19</v>
      </c>
      <c r="Z161" s="545">
        <f t="shared" si="476"/>
        <v>2670913.19</v>
      </c>
      <c r="AA161" s="545">
        <f t="shared" si="476"/>
        <v>0</v>
      </c>
      <c r="AB161" s="545">
        <f t="shared" si="476"/>
        <v>0</v>
      </c>
      <c r="AC161" s="545">
        <f t="shared" si="475"/>
        <v>87246703.670000002</v>
      </c>
      <c r="AD161" s="545">
        <f t="shared" si="475"/>
        <v>84039403.670000002</v>
      </c>
      <c r="AE161" s="545">
        <f t="shared" si="475"/>
        <v>0</v>
      </c>
      <c r="AF161" s="545">
        <f t="shared" si="475"/>
        <v>3207300</v>
      </c>
      <c r="AG161" s="558">
        <f t="shared" si="475"/>
        <v>109419303.58</v>
      </c>
      <c r="AH161" s="558">
        <f>AI161-AG161</f>
        <v>3976369</v>
      </c>
      <c r="AI161" s="1086">
        <v>113395672.58</v>
      </c>
      <c r="AJ161" s="765">
        <f>AH161+AG161</f>
        <v>113395672.58</v>
      </c>
      <c r="AK161" s="876">
        <f>AJ161-AI161</f>
        <v>0</v>
      </c>
      <c r="AL161" s="563">
        <v>19727.38</v>
      </c>
      <c r="AM161" s="563">
        <f t="shared" si="448"/>
        <v>0</v>
      </c>
      <c r="AN161" s="545">
        <f>AN162+AN163+AN164+AN165+AN166+AN167+AN168</f>
        <v>6.1999999999999886</v>
      </c>
      <c r="AO161" s="545">
        <f>AO162+AO163+AO164+AO165+AO166+AO167+AO168</f>
        <v>365</v>
      </c>
      <c r="AP161" s="545">
        <f t="shared" ref="AP161:BC161" si="477">AP162+AP163+AP164+AP165+AP166+AP167+AP168</f>
        <v>17.5</v>
      </c>
      <c r="AQ161" s="561">
        <f>SUM(AQ162:AQ168)</f>
        <v>88252855.390000001</v>
      </c>
      <c r="AR161" s="545">
        <f t="shared" si="346"/>
        <v>86405924.400000006</v>
      </c>
      <c r="AS161" s="545">
        <f t="shared" si="477"/>
        <v>82363542.200000003</v>
      </c>
      <c r="AT161" s="545">
        <f t="shared" si="477"/>
        <v>0</v>
      </c>
      <c r="AU161" s="545">
        <f t="shared" si="477"/>
        <v>3218400</v>
      </c>
      <c r="AV161" s="545">
        <f t="shared" si="349"/>
        <v>0</v>
      </c>
      <c r="AW161" s="545">
        <f>AW162+AW163+AW164+AW165+AW166+AW167+AW168</f>
        <v>2670913.19</v>
      </c>
      <c r="AX161" s="545">
        <f t="shared" si="477"/>
        <v>0</v>
      </c>
      <c r="AY161" s="545">
        <f t="shared" si="477"/>
        <v>0</v>
      </c>
      <c r="AZ161" s="545">
        <f t="shared" si="477"/>
        <v>0</v>
      </c>
      <c r="BA161" s="545">
        <f t="shared" si="477"/>
        <v>3218400</v>
      </c>
      <c r="BB161" s="545">
        <f t="shared" si="477"/>
        <v>85034455.390000001</v>
      </c>
      <c r="BC161" s="545">
        <f t="shared" si="477"/>
        <v>110714860.90000001</v>
      </c>
      <c r="BD161" s="558">
        <v>3911200</v>
      </c>
      <c r="BE161" s="564">
        <f>BD161+BC161</f>
        <v>114626060.90000001</v>
      </c>
      <c r="BF161" s="562">
        <v>113395672.58</v>
      </c>
      <c r="BG161" s="565">
        <f>BE161-BF161</f>
        <v>1230388.3200000077</v>
      </c>
      <c r="BH161" s="876">
        <f>AG161+AH161</f>
        <v>113395672.58</v>
      </c>
      <c r="BI161" s="876">
        <f>BH161-AI161</f>
        <v>0</v>
      </c>
    </row>
    <row r="162" spans="1:63">
      <c r="A162" s="11">
        <v>1</v>
      </c>
      <c r="B162" s="13" t="s">
        <v>71</v>
      </c>
      <c r="C162" s="17">
        <v>8</v>
      </c>
      <c r="D162" s="17"/>
      <c r="E162" s="11">
        <v>4342</v>
      </c>
      <c r="F162" s="11"/>
      <c r="G162" s="555">
        <v>45229.17</v>
      </c>
      <c r="H162" s="545">
        <f>I162+J162+K162</f>
        <v>4342</v>
      </c>
      <c r="I162" s="11">
        <f t="shared" ref="I162:I168" si="478">E162-K162-J162</f>
        <v>4158.6000000000004</v>
      </c>
      <c r="J162" s="11"/>
      <c r="K162" s="11">
        <v>183.4</v>
      </c>
      <c r="L162" s="545">
        <f t="shared" ref="L162:L168" si="479">M162+N162</f>
        <v>0</v>
      </c>
      <c r="M162" s="11">
        <f>F162-N162</f>
        <v>0</v>
      </c>
      <c r="N162" s="11"/>
      <c r="O162" s="861">
        <f>P162-C162</f>
        <v>0</v>
      </c>
      <c r="P162" s="444">
        <v>8</v>
      </c>
      <c r="Q162" s="17"/>
      <c r="R162" s="555">
        <v>45229.17</v>
      </c>
      <c r="S162" s="555"/>
      <c r="T162" s="554">
        <f>U162+Y162</f>
        <v>4342000.32</v>
      </c>
      <c r="U162" s="554">
        <f t="shared" ref="U162:U168" si="480">ROUND(R162*P162*12,2)</f>
        <v>4342000.32</v>
      </c>
      <c r="V162" s="433">
        <f t="shared" ref="V162:V168" si="481">U162-W162-X162</f>
        <v>4188000.3200000003</v>
      </c>
      <c r="W162" s="11"/>
      <c r="X162" s="11">
        <v>154000</v>
      </c>
      <c r="Y162" s="556">
        <f t="shared" ref="Y162:Y168" si="482">ROUND(S162*Q162*12,2)</f>
        <v>0</v>
      </c>
      <c r="Z162" s="11">
        <f t="shared" ref="Z162:Z168" si="483">Y162-AA162-AB162</f>
        <v>0</v>
      </c>
      <c r="AA162" s="11"/>
      <c r="AB162" s="11"/>
      <c r="AC162" s="554">
        <f t="shared" ref="AC162:AC168" si="484">AD162+AE162+AF162</f>
        <v>4342000.32</v>
      </c>
      <c r="AD162" s="433">
        <f t="shared" ref="AD162:AD168" si="485">ROUND((Z162+V162),2)</f>
        <v>4188000.32</v>
      </c>
      <c r="AE162" s="11">
        <f t="shared" ref="AE162:AF168" si="486">AA162+W162</f>
        <v>0</v>
      </c>
      <c r="AF162" s="11">
        <f t="shared" si="486"/>
        <v>154000</v>
      </c>
      <c r="AG162" s="739">
        <f t="shared" ref="AG162:AG168" si="487">ROUND(AD162*1.302,2)</f>
        <v>5452776.4199999999</v>
      </c>
      <c r="AH162" s="11"/>
      <c r="AI162" s="1084"/>
      <c r="AJ162" s="850"/>
      <c r="AK162" s="850"/>
      <c r="AL162" s="557">
        <v>45229.17</v>
      </c>
      <c r="AM162" s="557">
        <f t="shared" si="448"/>
        <v>0</v>
      </c>
      <c r="AN162" s="1233"/>
      <c r="AO162" s="17">
        <v>8</v>
      </c>
      <c r="AP162" s="17"/>
      <c r="AQ162" s="554">
        <f>AR162+AV162</f>
        <v>4342000.3</v>
      </c>
      <c r="AR162" s="545">
        <f t="shared" si="346"/>
        <v>4342000.3</v>
      </c>
      <c r="AS162" s="11">
        <f t="shared" ref="AS162:AS168" si="488">AR162-AT162-AU162</f>
        <v>4188000.3</v>
      </c>
      <c r="AT162" s="11">
        <f>W162</f>
        <v>0</v>
      </c>
      <c r="AU162" s="11">
        <f t="shared" ref="AU162:AU168" si="489">X162</f>
        <v>154000</v>
      </c>
      <c r="AV162" s="545">
        <f t="shared" si="349"/>
        <v>0</v>
      </c>
      <c r="AW162" s="11">
        <f t="shared" ref="AW162:AW168" si="490">AV162-AX162-AY162</f>
        <v>0</v>
      </c>
      <c r="AX162" s="11">
        <f t="shared" ref="AX162:AY168" si="491">AA162</f>
        <v>0</v>
      </c>
      <c r="AY162" s="11">
        <f t="shared" si="491"/>
        <v>0</v>
      </c>
      <c r="AZ162" s="18">
        <f>AX162+AT162</f>
        <v>0</v>
      </c>
      <c r="BA162" s="18">
        <f t="shared" ref="BA162:BA168" si="492">AY162+AU162</f>
        <v>154000</v>
      </c>
      <c r="BB162" s="19">
        <f>AW162+AS162</f>
        <v>4188000.3</v>
      </c>
      <c r="BC162" s="544">
        <f>ROUND(BB162*1.302,1)</f>
        <v>5452776.4000000004</v>
      </c>
      <c r="BD162" s="544"/>
      <c r="BE162" s="11"/>
      <c r="BF162" s="445"/>
      <c r="BG162" s="11"/>
      <c r="BH162" s="11"/>
      <c r="BI162" s="11"/>
    </row>
    <row r="163" spans="1:63">
      <c r="A163" s="11">
        <v>2</v>
      </c>
      <c r="B163" s="13" t="s">
        <v>72</v>
      </c>
      <c r="C163" s="17">
        <v>22</v>
      </c>
      <c r="D163" s="17">
        <v>0</v>
      </c>
      <c r="E163" s="11">
        <v>8928.6</v>
      </c>
      <c r="F163" s="11"/>
      <c r="G163" s="555">
        <v>33820.449999999997</v>
      </c>
      <c r="H163" s="545">
        <f t="shared" ref="H163:H168" si="493">I163+J163+K163</f>
        <v>8928.6</v>
      </c>
      <c r="I163" s="11">
        <f t="shared" si="478"/>
        <v>8342.6</v>
      </c>
      <c r="J163" s="11"/>
      <c r="K163" s="11">
        <v>586</v>
      </c>
      <c r="L163" s="545">
        <f t="shared" si="479"/>
        <v>0</v>
      </c>
      <c r="M163" s="11">
        <f t="shared" ref="M163:M168" si="494">F163-N163</f>
        <v>0</v>
      </c>
      <c r="N163" s="11"/>
      <c r="O163" s="861">
        <f t="shared" ref="O163:O168" si="495">P163-C163</f>
        <v>0</v>
      </c>
      <c r="P163" s="444">
        <v>22</v>
      </c>
      <c r="Q163" s="17"/>
      <c r="R163" s="555">
        <v>33820.449999999997</v>
      </c>
      <c r="S163" s="555"/>
      <c r="T163" s="554">
        <f t="shared" ref="T163:T168" si="496">U163+Y163</f>
        <v>8928598.8000000007</v>
      </c>
      <c r="U163" s="554">
        <f t="shared" si="480"/>
        <v>8928598.8000000007</v>
      </c>
      <c r="V163" s="433">
        <f t="shared" si="481"/>
        <v>8714498.8000000007</v>
      </c>
      <c r="W163" s="11"/>
      <c r="X163" s="11">
        <v>214100</v>
      </c>
      <c r="Y163" s="556">
        <f t="shared" si="482"/>
        <v>0</v>
      </c>
      <c r="Z163" s="11">
        <f t="shared" si="483"/>
        <v>0</v>
      </c>
      <c r="AA163" s="11"/>
      <c r="AB163" s="11"/>
      <c r="AC163" s="554">
        <f t="shared" si="484"/>
        <v>8928598.8000000007</v>
      </c>
      <c r="AD163" s="433">
        <f t="shared" si="485"/>
        <v>8714498.8000000007</v>
      </c>
      <c r="AE163" s="11">
        <f t="shared" si="486"/>
        <v>0</v>
      </c>
      <c r="AF163" s="11">
        <f t="shared" si="486"/>
        <v>214100</v>
      </c>
      <c r="AG163" s="739">
        <f t="shared" si="487"/>
        <v>11346277.439999999</v>
      </c>
      <c r="AH163" s="11"/>
      <c r="AI163" s="1084"/>
      <c r="AJ163" s="850"/>
      <c r="AK163" s="850"/>
      <c r="AL163" s="557">
        <v>33820.449999999997</v>
      </c>
      <c r="AM163" s="557">
        <f t="shared" si="448"/>
        <v>0</v>
      </c>
      <c r="AN163" s="1233"/>
      <c r="AO163" s="17">
        <v>22</v>
      </c>
      <c r="AP163" s="17"/>
      <c r="AQ163" s="554">
        <f t="shared" ref="AQ163:AQ168" si="497">AR163+AV163</f>
        <v>8928598.8000000007</v>
      </c>
      <c r="AR163" s="545">
        <f t="shared" si="346"/>
        <v>8928598.8000000007</v>
      </c>
      <c r="AS163" s="11">
        <f t="shared" si="488"/>
        <v>8714498.8000000007</v>
      </c>
      <c r="AT163" s="11">
        <f t="shared" ref="AT163:AT168" si="498">W163</f>
        <v>0</v>
      </c>
      <c r="AU163" s="11">
        <f t="shared" si="489"/>
        <v>214100</v>
      </c>
      <c r="AV163" s="545">
        <f t="shared" si="349"/>
        <v>0</v>
      </c>
      <c r="AW163" s="11">
        <f t="shared" si="490"/>
        <v>0</v>
      </c>
      <c r="AX163" s="11">
        <f t="shared" si="491"/>
        <v>0</v>
      </c>
      <c r="AY163" s="11">
        <f t="shared" si="491"/>
        <v>0</v>
      </c>
      <c r="AZ163" s="18">
        <f t="shared" ref="AZ163:AZ168" si="499">AX163+AT163</f>
        <v>0</v>
      </c>
      <c r="BA163" s="18">
        <f t="shared" si="492"/>
        <v>214100</v>
      </c>
      <c r="BB163" s="19">
        <f t="shared" ref="BB163:BB168" si="500">AW163+AS163</f>
        <v>8714498.8000000007</v>
      </c>
      <c r="BC163" s="544">
        <f t="shared" ref="BC163:BC168" si="501">ROUND(BB163*1.302,1)</f>
        <v>11346277.4</v>
      </c>
      <c r="BD163" s="544"/>
      <c r="BE163" s="11"/>
      <c r="BF163" s="445"/>
      <c r="BG163" s="11"/>
      <c r="BH163" s="11"/>
      <c r="BI163" s="11"/>
    </row>
    <row r="164" spans="1:63">
      <c r="A164" s="11">
        <v>3</v>
      </c>
      <c r="B164" s="14" t="s">
        <v>76</v>
      </c>
      <c r="C164" s="17">
        <v>168.1</v>
      </c>
      <c r="D164" s="17">
        <v>5.4</v>
      </c>
      <c r="E164" s="11">
        <v>49089.5</v>
      </c>
      <c r="F164" s="11">
        <v>1379.3</v>
      </c>
      <c r="G164" s="29">
        <v>24335.47</v>
      </c>
      <c r="H164" s="545">
        <f t="shared" si="493"/>
        <v>49089.5</v>
      </c>
      <c r="I164" s="11">
        <f t="shared" si="478"/>
        <v>46349</v>
      </c>
      <c r="J164" s="11"/>
      <c r="K164" s="11">
        <v>2740.5</v>
      </c>
      <c r="L164" s="545">
        <f t="shared" si="479"/>
        <v>1379.3</v>
      </c>
      <c r="M164" s="11">
        <f t="shared" si="494"/>
        <v>1379.3</v>
      </c>
      <c r="N164" s="11"/>
      <c r="O164" s="861">
        <f t="shared" si="495"/>
        <v>-2.0999999999999943</v>
      </c>
      <c r="P164" s="444">
        <v>166</v>
      </c>
      <c r="Q164" s="17">
        <v>3.6</v>
      </c>
      <c r="R164" s="29">
        <v>24335.47</v>
      </c>
      <c r="S164" s="555">
        <v>23385.49</v>
      </c>
      <c r="T164" s="554">
        <f t="shared" si="496"/>
        <v>49486509.410000004</v>
      </c>
      <c r="U164" s="554">
        <f t="shared" si="480"/>
        <v>48476256.240000002</v>
      </c>
      <c r="V164" s="433">
        <f t="shared" si="481"/>
        <v>45817256.240000002</v>
      </c>
      <c r="W164" s="11"/>
      <c r="X164" s="11">
        <v>2659000</v>
      </c>
      <c r="Y164" s="556">
        <f t="shared" si="482"/>
        <v>1010253.17</v>
      </c>
      <c r="Z164" s="11">
        <f t="shared" si="483"/>
        <v>1010253.17</v>
      </c>
      <c r="AA164" s="11"/>
      <c r="AB164" s="11"/>
      <c r="AC164" s="554">
        <f t="shared" si="484"/>
        <v>49486509.409999996</v>
      </c>
      <c r="AD164" s="433">
        <f t="shared" si="485"/>
        <v>46827509.409999996</v>
      </c>
      <c r="AE164" s="11">
        <f t="shared" si="486"/>
        <v>0</v>
      </c>
      <c r="AF164" s="11">
        <f t="shared" si="486"/>
        <v>2659000</v>
      </c>
      <c r="AG164" s="739">
        <f t="shared" si="487"/>
        <v>60969417.25</v>
      </c>
      <c r="AH164" s="11"/>
      <c r="AI164" s="1084"/>
      <c r="AJ164" s="850"/>
      <c r="AK164" s="850"/>
      <c r="AL164" s="440">
        <v>24335.47</v>
      </c>
      <c r="AM164" s="557">
        <f t="shared" si="448"/>
        <v>23385.49</v>
      </c>
      <c r="AN164" s="1233"/>
      <c r="AO164" s="17">
        <v>166</v>
      </c>
      <c r="AP164" s="17">
        <v>3.6</v>
      </c>
      <c r="AQ164" s="554">
        <f t="shared" si="497"/>
        <v>49486509.370000005</v>
      </c>
      <c r="AR164" s="545">
        <f t="shared" si="346"/>
        <v>48476256.200000003</v>
      </c>
      <c r="AS164" s="11">
        <f t="shared" si="488"/>
        <v>45817256.200000003</v>
      </c>
      <c r="AT164" s="11">
        <f t="shared" si="498"/>
        <v>0</v>
      </c>
      <c r="AU164" s="11">
        <f t="shared" si="489"/>
        <v>2659000</v>
      </c>
      <c r="AV164" s="545">
        <f t="shared" si="349"/>
        <v>1010253.17</v>
      </c>
      <c r="AW164" s="11">
        <f t="shared" si="490"/>
        <v>1010253.17</v>
      </c>
      <c r="AX164" s="11">
        <f t="shared" si="491"/>
        <v>0</v>
      </c>
      <c r="AY164" s="11">
        <f t="shared" si="491"/>
        <v>0</v>
      </c>
      <c r="AZ164" s="18">
        <f t="shared" si="499"/>
        <v>0</v>
      </c>
      <c r="BA164" s="18">
        <f t="shared" si="492"/>
        <v>2659000</v>
      </c>
      <c r="BB164" s="19">
        <f t="shared" si="500"/>
        <v>46827509.370000005</v>
      </c>
      <c r="BC164" s="544">
        <f t="shared" si="501"/>
        <v>60969417.200000003</v>
      </c>
      <c r="BD164" s="544"/>
      <c r="BE164" s="11"/>
      <c r="BF164" s="445"/>
      <c r="BG164" s="11"/>
      <c r="BH164" s="11"/>
      <c r="BI164" s="11"/>
    </row>
    <row r="165" spans="1:63">
      <c r="A165" s="11">
        <v>4</v>
      </c>
      <c r="B165" s="14" t="s">
        <v>77</v>
      </c>
      <c r="C165" s="17">
        <v>9.3000000000000007</v>
      </c>
      <c r="D165" s="17">
        <v>0.5</v>
      </c>
      <c r="E165" s="11">
        <v>2112.1999999999998</v>
      </c>
      <c r="F165" s="11">
        <v>141.1</v>
      </c>
      <c r="G165" s="432">
        <v>18926.52</v>
      </c>
      <c r="H165" s="545">
        <f t="shared" si="493"/>
        <v>2112.1999999999998</v>
      </c>
      <c r="I165" s="11">
        <f t="shared" si="478"/>
        <v>2012.8999999999999</v>
      </c>
      <c r="J165" s="11"/>
      <c r="K165" s="11">
        <v>99.3</v>
      </c>
      <c r="L165" s="545">
        <f t="shared" si="479"/>
        <v>141.1</v>
      </c>
      <c r="M165" s="11">
        <f t="shared" si="494"/>
        <v>141.1</v>
      </c>
      <c r="N165" s="11"/>
      <c r="O165" s="861">
        <f t="shared" si="495"/>
        <v>5.6999999999999993</v>
      </c>
      <c r="P165" s="444">
        <v>15</v>
      </c>
      <c r="Q165" s="17">
        <v>0.5</v>
      </c>
      <c r="R165" s="432">
        <v>18926.52</v>
      </c>
      <c r="S165" s="555">
        <f>ROUND(F165/D165/12*1000,2)</f>
        <v>23516.67</v>
      </c>
      <c r="T165" s="554">
        <f t="shared" si="496"/>
        <v>3547873.62</v>
      </c>
      <c r="U165" s="554">
        <f t="shared" si="480"/>
        <v>3406773.6</v>
      </c>
      <c r="V165" s="433">
        <f t="shared" si="481"/>
        <v>3226573.6</v>
      </c>
      <c r="W165" s="11"/>
      <c r="X165" s="11">
        <v>180200</v>
      </c>
      <c r="Y165" s="556">
        <f t="shared" si="482"/>
        <v>141100.01999999999</v>
      </c>
      <c r="Z165" s="11">
        <f t="shared" si="483"/>
        <v>141100.01999999999</v>
      </c>
      <c r="AA165" s="11"/>
      <c r="AB165" s="11"/>
      <c r="AC165" s="554">
        <f t="shared" si="484"/>
        <v>3547873.62</v>
      </c>
      <c r="AD165" s="433">
        <f t="shared" si="485"/>
        <v>3367673.62</v>
      </c>
      <c r="AE165" s="11">
        <f t="shared" si="486"/>
        <v>0</v>
      </c>
      <c r="AF165" s="11">
        <f t="shared" si="486"/>
        <v>180200</v>
      </c>
      <c r="AG165" s="739">
        <f t="shared" si="487"/>
        <v>4384711.05</v>
      </c>
      <c r="AH165" s="11"/>
      <c r="AI165" s="1084"/>
      <c r="AJ165" s="850"/>
      <c r="AK165" s="850"/>
      <c r="AL165" s="441">
        <v>18926.52</v>
      </c>
      <c r="AM165" s="557">
        <f t="shared" si="448"/>
        <v>23516.67</v>
      </c>
      <c r="AN165" s="1233">
        <f>AO165-P165</f>
        <v>2</v>
      </c>
      <c r="AO165" s="17">
        <v>17</v>
      </c>
      <c r="AP165" s="17">
        <v>0.5</v>
      </c>
      <c r="AQ165" s="554">
        <f t="shared" si="497"/>
        <v>4002110.12</v>
      </c>
      <c r="AR165" s="545">
        <f t="shared" si="346"/>
        <v>3861010.1</v>
      </c>
      <c r="AS165" s="11">
        <f t="shared" si="488"/>
        <v>3669710.1</v>
      </c>
      <c r="AT165" s="11">
        <f t="shared" si="498"/>
        <v>0</v>
      </c>
      <c r="AU165" s="11">
        <v>191300</v>
      </c>
      <c r="AV165" s="545">
        <f t="shared" si="349"/>
        <v>141100.01999999999</v>
      </c>
      <c r="AW165" s="11">
        <f t="shared" si="490"/>
        <v>141100.01999999999</v>
      </c>
      <c r="AX165" s="11">
        <f t="shared" si="491"/>
        <v>0</v>
      </c>
      <c r="AY165" s="11">
        <f t="shared" si="491"/>
        <v>0</v>
      </c>
      <c r="AZ165" s="18">
        <f t="shared" si="499"/>
        <v>0</v>
      </c>
      <c r="BA165" s="18">
        <v>191300</v>
      </c>
      <c r="BB165" s="19">
        <f t="shared" si="500"/>
        <v>3810810.12</v>
      </c>
      <c r="BC165" s="544">
        <f t="shared" si="501"/>
        <v>4961674.8</v>
      </c>
      <c r="BD165" s="544"/>
      <c r="BE165" s="11"/>
      <c r="BF165" s="445"/>
      <c r="BG165" s="11"/>
      <c r="BH165" s="11"/>
      <c r="BI165" s="11"/>
    </row>
    <row r="166" spans="1:63">
      <c r="A166" s="11">
        <v>5</v>
      </c>
      <c r="B166" s="13" t="s">
        <v>73</v>
      </c>
      <c r="C166" s="17"/>
      <c r="D166" s="17"/>
      <c r="E166" s="11"/>
      <c r="F166" s="11"/>
      <c r="G166" s="555"/>
      <c r="H166" s="545">
        <f t="shared" si="493"/>
        <v>0</v>
      </c>
      <c r="I166" s="11">
        <f t="shared" si="478"/>
        <v>0</v>
      </c>
      <c r="J166" s="11"/>
      <c r="K166" s="11"/>
      <c r="L166" s="545">
        <f t="shared" si="479"/>
        <v>0</v>
      </c>
      <c r="M166" s="11">
        <f t="shared" si="494"/>
        <v>0</v>
      </c>
      <c r="N166" s="11"/>
      <c r="O166" s="861">
        <f t="shared" si="495"/>
        <v>0</v>
      </c>
      <c r="P166" s="444"/>
      <c r="Q166" s="17"/>
      <c r="R166" s="555"/>
      <c r="S166" s="555"/>
      <c r="T166" s="554">
        <f t="shared" si="496"/>
        <v>0</v>
      </c>
      <c r="U166" s="554">
        <f t="shared" si="480"/>
        <v>0</v>
      </c>
      <c r="V166" s="433">
        <f t="shared" si="481"/>
        <v>0</v>
      </c>
      <c r="W166" s="11"/>
      <c r="X166" s="11"/>
      <c r="Y166" s="556">
        <f t="shared" si="482"/>
        <v>0</v>
      </c>
      <c r="Z166" s="11">
        <f t="shared" si="483"/>
        <v>0</v>
      </c>
      <c r="AA166" s="11"/>
      <c r="AB166" s="11"/>
      <c r="AC166" s="554">
        <f t="shared" si="484"/>
        <v>0</v>
      </c>
      <c r="AD166" s="433">
        <f t="shared" si="485"/>
        <v>0</v>
      </c>
      <c r="AE166" s="11">
        <f t="shared" si="486"/>
        <v>0</v>
      </c>
      <c r="AF166" s="11">
        <f t="shared" si="486"/>
        <v>0</v>
      </c>
      <c r="AG166" s="739">
        <f t="shared" si="487"/>
        <v>0</v>
      </c>
      <c r="AH166" s="11"/>
      <c r="AI166" s="1084"/>
      <c r="AJ166" s="850"/>
      <c r="AK166" s="850"/>
      <c r="AL166" s="557"/>
      <c r="AM166" s="557">
        <f t="shared" si="448"/>
        <v>0</v>
      </c>
      <c r="AN166" s="1233"/>
      <c r="AO166" s="17"/>
      <c r="AP166" s="17"/>
      <c r="AQ166" s="554">
        <f t="shared" si="497"/>
        <v>0</v>
      </c>
      <c r="AR166" s="545">
        <f t="shared" si="346"/>
        <v>0</v>
      </c>
      <c r="AS166" s="11">
        <f t="shared" si="488"/>
        <v>0</v>
      </c>
      <c r="AT166" s="11">
        <f t="shared" si="498"/>
        <v>0</v>
      </c>
      <c r="AU166" s="11">
        <f t="shared" si="489"/>
        <v>0</v>
      </c>
      <c r="AV166" s="545">
        <f t="shared" si="349"/>
        <v>0</v>
      </c>
      <c r="AW166" s="11">
        <f t="shared" si="490"/>
        <v>0</v>
      </c>
      <c r="AX166" s="11">
        <f t="shared" si="491"/>
        <v>0</v>
      </c>
      <c r="AY166" s="11">
        <f t="shared" si="491"/>
        <v>0</v>
      </c>
      <c r="AZ166" s="18">
        <f t="shared" si="499"/>
        <v>0</v>
      </c>
      <c r="BA166" s="18">
        <f t="shared" si="492"/>
        <v>0</v>
      </c>
      <c r="BB166" s="19">
        <f t="shared" si="500"/>
        <v>0</v>
      </c>
      <c r="BC166" s="544">
        <f t="shared" si="501"/>
        <v>0</v>
      </c>
      <c r="BD166" s="544"/>
      <c r="BE166" s="11"/>
      <c r="BF166" s="445"/>
      <c r="BG166" s="11"/>
      <c r="BH166" s="11"/>
      <c r="BI166" s="11"/>
    </row>
    <row r="167" spans="1:63">
      <c r="A167" s="11">
        <v>6</v>
      </c>
      <c r="B167" s="13" t="s">
        <v>74</v>
      </c>
      <c r="C167" s="17"/>
      <c r="D167" s="17"/>
      <c r="E167" s="11"/>
      <c r="F167" s="11"/>
      <c r="G167" s="555"/>
      <c r="H167" s="545">
        <f t="shared" si="493"/>
        <v>0</v>
      </c>
      <c r="I167" s="11">
        <f t="shared" si="478"/>
        <v>0</v>
      </c>
      <c r="J167" s="11"/>
      <c r="K167" s="11"/>
      <c r="L167" s="545">
        <f t="shared" si="479"/>
        <v>0</v>
      </c>
      <c r="M167" s="11">
        <f t="shared" si="494"/>
        <v>0</v>
      </c>
      <c r="N167" s="11"/>
      <c r="O167" s="861">
        <f t="shared" si="495"/>
        <v>0</v>
      </c>
      <c r="P167" s="444"/>
      <c r="Q167" s="17"/>
      <c r="R167" s="555"/>
      <c r="S167" s="555"/>
      <c r="T167" s="554">
        <f t="shared" si="496"/>
        <v>0</v>
      </c>
      <c r="U167" s="554">
        <f t="shared" si="480"/>
        <v>0</v>
      </c>
      <c r="V167" s="433">
        <f t="shared" si="481"/>
        <v>0</v>
      </c>
      <c r="W167" s="11"/>
      <c r="X167" s="11"/>
      <c r="Y167" s="556">
        <f t="shared" si="482"/>
        <v>0</v>
      </c>
      <c r="Z167" s="11">
        <f t="shared" si="483"/>
        <v>0</v>
      </c>
      <c r="AA167" s="11"/>
      <c r="AB167" s="11"/>
      <c r="AC167" s="554">
        <f t="shared" si="484"/>
        <v>0</v>
      </c>
      <c r="AD167" s="433">
        <f t="shared" si="485"/>
        <v>0</v>
      </c>
      <c r="AE167" s="11">
        <f t="shared" si="486"/>
        <v>0</v>
      </c>
      <c r="AF167" s="11">
        <f t="shared" si="486"/>
        <v>0</v>
      </c>
      <c r="AG167" s="739">
        <f t="shared" si="487"/>
        <v>0</v>
      </c>
      <c r="AH167" s="11"/>
      <c r="AI167" s="1084"/>
      <c r="AJ167" s="850"/>
      <c r="AK167" s="850"/>
      <c r="AL167" s="557"/>
      <c r="AM167" s="557">
        <f t="shared" si="448"/>
        <v>0</v>
      </c>
      <c r="AN167" s="1233"/>
      <c r="AO167" s="17"/>
      <c r="AP167" s="17"/>
      <c r="AQ167" s="554">
        <f t="shared" si="497"/>
        <v>0</v>
      </c>
      <c r="AR167" s="545">
        <f t="shared" si="346"/>
        <v>0</v>
      </c>
      <c r="AS167" s="11">
        <f t="shared" si="488"/>
        <v>0</v>
      </c>
      <c r="AT167" s="11">
        <f t="shared" si="498"/>
        <v>0</v>
      </c>
      <c r="AU167" s="11">
        <f t="shared" si="489"/>
        <v>0</v>
      </c>
      <c r="AV167" s="545">
        <f t="shared" si="349"/>
        <v>0</v>
      </c>
      <c r="AW167" s="11">
        <f t="shared" si="490"/>
        <v>0</v>
      </c>
      <c r="AX167" s="11">
        <f t="shared" si="491"/>
        <v>0</v>
      </c>
      <c r="AY167" s="11">
        <f t="shared" si="491"/>
        <v>0</v>
      </c>
      <c r="AZ167" s="18">
        <f t="shared" si="499"/>
        <v>0</v>
      </c>
      <c r="BA167" s="18">
        <f t="shared" si="492"/>
        <v>0</v>
      </c>
      <c r="BB167" s="19">
        <f t="shared" si="500"/>
        <v>0</v>
      </c>
      <c r="BC167" s="544">
        <f t="shared" si="501"/>
        <v>0</v>
      </c>
      <c r="BD167" s="544"/>
      <c r="BE167" s="11"/>
      <c r="BF167" s="445"/>
      <c r="BG167" s="11"/>
      <c r="BH167" s="11"/>
      <c r="BI167" s="11"/>
    </row>
    <row r="168" spans="1:63">
      <c r="A168" s="11">
        <v>7</v>
      </c>
      <c r="B168" s="1131" t="s">
        <v>814</v>
      </c>
      <c r="C168" s="17">
        <v>137.4</v>
      </c>
      <c r="D168" s="17">
        <v>14.7</v>
      </c>
      <c r="E168" s="11">
        <v>17151.7</v>
      </c>
      <c r="F168" s="11">
        <v>1373.1</v>
      </c>
      <c r="G168" s="555">
        <v>10402.540000000001</v>
      </c>
      <c r="H168" s="545">
        <f t="shared" si="493"/>
        <v>17151.7</v>
      </c>
      <c r="I168" s="11">
        <f t="shared" si="478"/>
        <v>17151.7</v>
      </c>
      <c r="J168" s="11"/>
      <c r="K168" s="11">
        <v>0</v>
      </c>
      <c r="L168" s="545">
        <f t="shared" si="479"/>
        <v>1373.1</v>
      </c>
      <c r="M168" s="11">
        <f t="shared" si="494"/>
        <v>1373.1</v>
      </c>
      <c r="N168" s="11"/>
      <c r="O168" s="861">
        <f t="shared" si="495"/>
        <v>10.400000000000006</v>
      </c>
      <c r="P168" s="444">
        <v>147.80000000000001</v>
      </c>
      <c r="Q168" s="17">
        <v>13.4</v>
      </c>
      <c r="R168" s="555">
        <v>10950.7</v>
      </c>
      <c r="S168" s="555">
        <v>9450</v>
      </c>
      <c r="T168" s="554">
        <f t="shared" si="496"/>
        <v>20941721.52</v>
      </c>
      <c r="U168" s="554">
        <f t="shared" si="480"/>
        <v>19422161.52</v>
      </c>
      <c r="V168" s="433">
        <f t="shared" si="481"/>
        <v>19422161.52</v>
      </c>
      <c r="W168" s="11"/>
      <c r="X168" s="11"/>
      <c r="Y168" s="556">
        <f t="shared" si="482"/>
        <v>1519560</v>
      </c>
      <c r="Z168" s="11">
        <f t="shared" si="483"/>
        <v>1519560</v>
      </c>
      <c r="AA168" s="11"/>
      <c r="AB168" s="11"/>
      <c r="AC168" s="554">
        <f t="shared" si="484"/>
        <v>20941721.52</v>
      </c>
      <c r="AD168" s="433">
        <f t="shared" si="485"/>
        <v>20941721.52</v>
      </c>
      <c r="AE168" s="11">
        <f t="shared" si="486"/>
        <v>0</v>
      </c>
      <c r="AF168" s="11">
        <f t="shared" si="486"/>
        <v>0</v>
      </c>
      <c r="AG168" s="739">
        <f t="shared" si="487"/>
        <v>27266121.420000002</v>
      </c>
      <c r="AH168" s="11"/>
      <c r="AI168" s="1084"/>
      <c r="AJ168" s="850"/>
      <c r="AK168" s="850"/>
      <c r="AL168" s="557">
        <v>10950.7</v>
      </c>
      <c r="AM168" s="557">
        <f t="shared" si="448"/>
        <v>9450</v>
      </c>
      <c r="AN168" s="1233">
        <f>AO168-P168</f>
        <v>4.1999999999999886</v>
      </c>
      <c r="AO168" s="17">
        <v>152</v>
      </c>
      <c r="AP168" s="17">
        <v>13.4</v>
      </c>
      <c r="AQ168" s="554">
        <f t="shared" si="497"/>
        <v>21493636.800000001</v>
      </c>
      <c r="AR168" s="545">
        <f t="shared" si="346"/>
        <v>19974076.800000001</v>
      </c>
      <c r="AS168" s="11">
        <f t="shared" si="488"/>
        <v>19974076.800000001</v>
      </c>
      <c r="AT168" s="11">
        <f t="shared" si="498"/>
        <v>0</v>
      </c>
      <c r="AU168" s="11">
        <f t="shared" si="489"/>
        <v>0</v>
      </c>
      <c r="AV168" s="545">
        <f t="shared" si="349"/>
        <v>1519560</v>
      </c>
      <c r="AW168" s="11">
        <f t="shared" si="490"/>
        <v>1519560</v>
      </c>
      <c r="AX168" s="11">
        <f t="shared" si="491"/>
        <v>0</v>
      </c>
      <c r="AY168" s="11">
        <f t="shared" si="491"/>
        <v>0</v>
      </c>
      <c r="AZ168" s="18">
        <f t="shared" si="499"/>
        <v>0</v>
      </c>
      <c r="BA168" s="18">
        <f t="shared" si="492"/>
        <v>0</v>
      </c>
      <c r="BB168" s="19">
        <f t="shared" si="500"/>
        <v>21493636.800000001</v>
      </c>
      <c r="BC168" s="544">
        <f t="shared" si="501"/>
        <v>27984715.100000001</v>
      </c>
      <c r="BD168" s="544"/>
      <c r="BE168" s="11"/>
      <c r="BF168" s="445"/>
      <c r="BG168" s="11"/>
      <c r="BH168" s="11"/>
      <c r="BI168" s="11"/>
    </row>
    <row r="169" spans="1:63">
      <c r="A169" s="11"/>
      <c r="B169" s="1132" t="s">
        <v>815</v>
      </c>
      <c r="C169" s="17"/>
      <c r="D169" s="17"/>
      <c r="E169" s="11"/>
      <c r="F169" s="11"/>
      <c r="G169" s="555"/>
      <c r="H169" s="545"/>
      <c r="I169" s="11"/>
      <c r="J169" s="11"/>
      <c r="K169" s="11"/>
      <c r="L169" s="545"/>
      <c r="M169" s="11"/>
      <c r="N169" s="11"/>
      <c r="O169" s="861"/>
      <c r="P169" s="444"/>
      <c r="Q169" s="17"/>
      <c r="R169" s="555"/>
      <c r="S169" s="555"/>
      <c r="T169" s="554"/>
      <c r="U169" s="554"/>
      <c r="V169" s="433"/>
      <c r="W169" s="11"/>
      <c r="X169" s="11"/>
      <c r="Y169" s="556"/>
      <c r="Z169" s="11"/>
      <c r="AA169" s="11"/>
      <c r="AB169" s="11"/>
      <c r="AC169" s="554"/>
      <c r="AD169" s="433"/>
      <c r="AE169" s="11"/>
      <c r="AF169" s="11"/>
      <c r="AG169" s="739"/>
      <c r="AH169" s="11"/>
      <c r="AI169" s="1084"/>
      <c r="AJ169" s="850"/>
      <c r="AK169" s="850"/>
      <c r="AL169" s="557"/>
      <c r="AM169" s="557"/>
      <c r="AN169" s="1233"/>
      <c r="AO169" s="17"/>
      <c r="AP169" s="17"/>
      <c r="AQ169" s="554"/>
      <c r="AR169" s="545"/>
      <c r="AS169" s="11"/>
      <c r="AT169" s="11"/>
      <c r="AU169" s="11"/>
      <c r="AV169" s="545"/>
      <c r="AW169" s="11"/>
      <c r="AX169" s="11"/>
      <c r="AY169" s="11"/>
      <c r="AZ169" s="18"/>
      <c r="BA169" s="18"/>
      <c r="BB169" s="19"/>
      <c r="BC169" s="544"/>
      <c r="BD169" s="544"/>
      <c r="BE169" s="1045"/>
      <c r="BF169" s="445"/>
      <c r="BG169" s="1045"/>
      <c r="BH169" s="11"/>
      <c r="BI169" s="11"/>
    </row>
    <row r="170" spans="1:63" ht="19.149999999999999" customHeight="1">
      <c r="A170" s="684">
        <v>18</v>
      </c>
      <c r="B170" s="685" t="s">
        <v>240</v>
      </c>
      <c r="C170" s="684">
        <f>C171+C172+C173+C174+C175+C176+C177</f>
        <v>405.1</v>
      </c>
      <c r="D170" s="684">
        <f>D171+D172+D173+D174+D175+D176+D177</f>
        <v>23.2</v>
      </c>
      <c r="E170" s="684">
        <f>SUM(E171:E177)</f>
        <v>79320.700000000012</v>
      </c>
      <c r="F170" s="684">
        <f t="shared" ref="F170:AG170" si="502">F171+F172+F173+F174+F175+F176+F177</f>
        <v>3141.2</v>
      </c>
      <c r="G170" s="686">
        <v>16317.1</v>
      </c>
      <c r="H170" s="684">
        <f t="shared" si="502"/>
        <v>79320.700000000012</v>
      </c>
      <c r="I170" s="684">
        <f t="shared" si="502"/>
        <v>75794.399999999994</v>
      </c>
      <c r="J170" s="684">
        <f t="shared" si="502"/>
        <v>0</v>
      </c>
      <c r="K170" s="684">
        <f t="shared" si="502"/>
        <v>3526.3</v>
      </c>
      <c r="L170" s="684">
        <f t="shared" si="502"/>
        <v>3141.2</v>
      </c>
      <c r="M170" s="684">
        <f t="shared" si="502"/>
        <v>2870.2</v>
      </c>
      <c r="N170" s="684">
        <f t="shared" si="502"/>
        <v>38.5</v>
      </c>
      <c r="O170" s="687">
        <f t="shared" si="502"/>
        <v>271</v>
      </c>
      <c r="P170" s="688">
        <f t="shared" si="502"/>
        <v>443.6</v>
      </c>
      <c r="Q170" s="684">
        <f t="shared" si="502"/>
        <v>32.200000000000003</v>
      </c>
      <c r="R170" s="686">
        <v>16317.1</v>
      </c>
      <c r="S170" s="686"/>
      <c r="T170" s="689">
        <f>SUM(T171:T177)</f>
        <v>89368118.300000012</v>
      </c>
      <c r="U170" s="684">
        <f t="shared" ref="U170:AB170" si="503">U171+U172+U173+U174+U175+U176+U177</f>
        <v>84974705.720000014</v>
      </c>
      <c r="V170" s="686">
        <f>V171+V172+V173+V174+V175+V176+V177</f>
        <v>81468405.720000014</v>
      </c>
      <c r="W170" s="684">
        <f t="shared" si="503"/>
        <v>0</v>
      </c>
      <c r="X170" s="684">
        <f t="shared" si="503"/>
        <v>3506300</v>
      </c>
      <c r="Y170" s="684">
        <f t="shared" si="503"/>
        <v>4393412.58</v>
      </c>
      <c r="Z170" s="684">
        <f t="shared" si="503"/>
        <v>4161412.58</v>
      </c>
      <c r="AA170" s="684">
        <f t="shared" si="503"/>
        <v>0</v>
      </c>
      <c r="AB170" s="684">
        <f t="shared" si="503"/>
        <v>232000</v>
      </c>
      <c r="AC170" s="686">
        <f>AC171+AC172+AC173+AC174+AC175+AC176+AC177</f>
        <v>89368118.300000012</v>
      </c>
      <c r="AD170" s="684">
        <f t="shared" si="502"/>
        <v>85629818.299999997</v>
      </c>
      <c r="AE170" s="684">
        <f t="shared" si="502"/>
        <v>0</v>
      </c>
      <c r="AF170" s="684">
        <f t="shared" si="502"/>
        <v>3738300</v>
      </c>
      <c r="AG170" s="684">
        <f t="shared" si="502"/>
        <v>111490023.42999999</v>
      </c>
      <c r="AH170" s="766">
        <v>3669000</v>
      </c>
      <c r="AI170" s="1091">
        <v>110291261.98999999</v>
      </c>
      <c r="AJ170" s="765">
        <f>AH170+AG170</f>
        <v>115159023.42999999</v>
      </c>
      <c r="AK170" s="876">
        <f>AJ170-AI170</f>
        <v>4867761.4399999976</v>
      </c>
      <c r="AL170" s="692">
        <v>16317.1</v>
      </c>
      <c r="AM170" s="692">
        <f t="shared" si="448"/>
        <v>0</v>
      </c>
      <c r="AN170" s="684">
        <f>AN171+AN172+AN173+AN174+AN175+AN176+AN177</f>
        <v>18.799999999999997</v>
      </c>
      <c r="AO170" s="684">
        <f>AO171+AO172+AO173+AO174+AO175+AO176+AO177</f>
        <v>462.4</v>
      </c>
      <c r="AP170" s="684">
        <f t="shared" ref="AP170:BC170" si="504">AP171+AP172+AP173+AP174+AP175+AP176+AP177</f>
        <v>32</v>
      </c>
      <c r="AQ170" s="689">
        <f>SUM(AQ171:AQ177)</f>
        <v>92769986.079999983</v>
      </c>
      <c r="AR170" s="684">
        <f t="shared" si="346"/>
        <v>90540324.5</v>
      </c>
      <c r="AS170" s="684">
        <f t="shared" si="504"/>
        <v>84894273.5</v>
      </c>
      <c r="AT170" s="684">
        <f t="shared" si="504"/>
        <v>0</v>
      </c>
      <c r="AU170" s="684">
        <f t="shared" si="504"/>
        <v>3506300</v>
      </c>
      <c r="AV170" s="684">
        <f t="shared" si="504"/>
        <v>4369412.58</v>
      </c>
      <c r="AW170" s="684">
        <f>AW171+AW172+AW173+AW174+AW175+AW176+AW177</f>
        <v>4137412.58</v>
      </c>
      <c r="AX170" s="684">
        <f t="shared" si="504"/>
        <v>0</v>
      </c>
      <c r="AY170" s="684">
        <f t="shared" si="504"/>
        <v>232000</v>
      </c>
      <c r="AZ170" s="684">
        <f t="shared" si="504"/>
        <v>0</v>
      </c>
      <c r="BA170" s="684">
        <f t="shared" si="504"/>
        <v>3738300</v>
      </c>
      <c r="BB170" s="767">
        <f t="shared" si="504"/>
        <v>89031686.079999998</v>
      </c>
      <c r="BC170" s="767">
        <f t="shared" si="504"/>
        <v>115919255.20000002</v>
      </c>
      <c r="BD170" s="686">
        <v>5996000</v>
      </c>
      <c r="BE170" s="693">
        <f>BD170+BC170</f>
        <v>121915255.20000002</v>
      </c>
      <c r="BF170" s="691">
        <v>110291261.98999999</v>
      </c>
      <c r="BG170" s="768">
        <f>BE170-BF170</f>
        <v>11623993.210000023</v>
      </c>
      <c r="BH170" s="876">
        <f>AG170+AH170</f>
        <v>115159023.42999999</v>
      </c>
      <c r="BI170" s="876">
        <f>BH170-AI170</f>
        <v>4867761.4399999976</v>
      </c>
      <c r="BJ170" t="s">
        <v>681</v>
      </c>
      <c r="BK170" s="770"/>
    </row>
    <row r="171" spans="1:63">
      <c r="A171" s="11">
        <v>1</v>
      </c>
      <c r="B171" s="694" t="s">
        <v>71</v>
      </c>
      <c r="C171" s="695">
        <v>10</v>
      </c>
      <c r="D171" s="695"/>
      <c r="E171" s="11">
        <v>5047.5</v>
      </c>
      <c r="F171" s="11"/>
      <c r="G171" s="696">
        <v>42062.5</v>
      </c>
      <c r="H171" s="684">
        <f>I171+J171+K171</f>
        <v>5047.5</v>
      </c>
      <c r="I171" s="11">
        <f t="shared" ref="I171:I177" si="505">E171-K171-J171</f>
        <v>4860.7</v>
      </c>
      <c r="J171" s="11"/>
      <c r="K171" s="11">
        <v>186.8</v>
      </c>
      <c r="L171" s="684">
        <f>M171+O171</f>
        <v>0</v>
      </c>
      <c r="M171" s="11">
        <f>F171-O171</f>
        <v>0</v>
      </c>
      <c r="N171" s="862">
        <f>P171-C171</f>
        <v>0</v>
      </c>
      <c r="O171" s="439"/>
      <c r="P171" s="697">
        <v>10</v>
      </c>
      <c r="Q171" s="695">
        <v>0</v>
      </c>
      <c r="R171" s="696">
        <v>42062.5</v>
      </c>
      <c r="S171" s="696"/>
      <c r="T171" s="698">
        <f>U171+Y171</f>
        <v>5047500</v>
      </c>
      <c r="U171" s="771">
        <f>ROUND(R171*P171*12,2)</f>
        <v>5047500</v>
      </c>
      <c r="V171" s="735">
        <f t="shared" ref="V171:V177" si="506">U171-W171-X171</f>
        <v>4852700</v>
      </c>
      <c r="W171" s="735"/>
      <c r="X171" s="735">
        <v>194800</v>
      </c>
      <c r="Y171" s="699">
        <f t="shared" ref="Y171:Y177" si="507">ROUND(S171*Q171*12,2)</f>
        <v>0</v>
      </c>
      <c r="Z171" s="11">
        <f t="shared" ref="Z171:Z177" si="508">Y171-AA171-AB171</f>
        <v>0</v>
      </c>
      <c r="AA171" s="11"/>
      <c r="AB171" s="11"/>
      <c r="AC171" s="698">
        <f t="shared" ref="AC171:AC177" si="509">AD171+AE171+AF171</f>
        <v>5047500</v>
      </c>
      <c r="AD171" s="433">
        <f t="shared" ref="AD171:AD177" si="510">ROUND((Z171+V171),2)</f>
        <v>4852700</v>
      </c>
      <c r="AE171" s="11">
        <f t="shared" ref="AE171:AF177" si="511">AA171+W171</f>
        <v>0</v>
      </c>
      <c r="AF171" s="11">
        <f t="shared" si="511"/>
        <v>194800</v>
      </c>
      <c r="AG171" s="700">
        <f t="shared" ref="AG171:AG177" si="512">ROUND(AD171*1.302,2)</f>
        <v>6318215.4000000004</v>
      </c>
      <c r="AH171" s="11">
        <v>3008</v>
      </c>
      <c r="AI171" s="1082"/>
      <c r="AJ171" s="910"/>
      <c r="AK171" s="910"/>
      <c r="AL171" s="702">
        <v>42062.5</v>
      </c>
      <c r="AM171" s="702">
        <f t="shared" si="448"/>
        <v>0</v>
      </c>
      <c r="AN171" s="1233"/>
      <c r="AO171" s="695">
        <v>10</v>
      </c>
      <c r="AP171" s="695"/>
      <c r="AQ171" s="698">
        <f>AR171+AV171</f>
        <v>5047500</v>
      </c>
      <c r="AR171" s="684">
        <f t="shared" si="346"/>
        <v>5047500</v>
      </c>
      <c r="AS171" s="11">
        <f t="shared" ref="AS171:AS177" si="513">AR171-AT171-AU171</f>
        <v>4852700</v>
      </c>
      <c r="AT171" s="11">
        <f>W171</f>
        <v>0</v>
      </c>
      <c r="AU171" s="11">
        <f t="shared" ref="AU171:AU177" si="514">X171</f>
        <v>194800</v>
      </c>
      <c r="AV171" s="684">
        <f t="shared" ref="AV171:AV194" si="515">ROUND(AM171*AP171*12,2)</f>
        <v>0</v>
      </c>
      <c r="AW171" s="11">
        <f t="shared" ref="AW171:AW177" si="516">AV171-AX171-AY171</f>
        <v>0</v>
      </c>
      <c r="AX171" s="11">
        <f t="shared" ref="AX171:AY177" si="517">AA171</f>
        <v>0</v>
      </c>
      <c r="AY171" s="11">
        <f t="shared" si="517"/>
        <v>0</v>
      </c>
      <c r="AZ171" s="18">
        <f>AX171+AT171</f>
        <v>0</v>
      </c>
      <c r="BA171" s="18">
        <f t="shared" ref="BA171:BA177" si="518">AY171+AU171</f>
        <v>194800</v>
      </c>
      <c r="BB171" s="772">
        <f>AW171+AS171</f>
        <v>4852700</v>
      </c>
      <c r="BC171" s="773">
        <f>ROUND(BB171*1.302,1)</f>
        <v>6318215.4000000004</v>
      </c>
      <c r="BD171" s="700"/>
      <c r="BE171" s="11"/>
      <c r="BF171" s="701"/>
      <c r="BG171" s="11"/>
      <c r="BH171" s="11"/>
      <c r="BI171" s="11" t="s">
        <v>682</v>
      </c>
      <c r="BK171" s="770"/>
    </row>
    <row r="172" spans="1:63">
      <c r="A172" s="11">
        <v>2</v>
      </c>
      <c r="B172" s="694" t="s">
        <v>72</v>
      </c>
      <c r="C172" s="695">
        <v>23.8</v>
      </c>
      <c r="D172" s="695">
        <v>0</v>
      </c>
      <c r="E172" s="11">
        <v>9801.4</v>
      </c>
      <c r="F172" s="11"/>
      <c r="G172" s="696">
        <v>34318.629999999997</v>
      </c>
      <c r="H172" s="684">
        <f t="shared" ref="H172:H177" si="519">I172+J172+K172</f>
        <v>9801.4</v>
      </c>
      <c r="I172" s="11">
        <f t="shared" si="505"/>
        <v>9423.6</v>
      </c>
      <c r="J172" s="11"/>
      <c r="K172" s="11">
        <v>377.8</v>
      </c>
      <c r="L172" s="684">
        <f t="shared" ref="L172:L177" si="520">M172+O172</f>
        <v>0</v>
      </c>
      <c r="M172" s="11">
        <f t="shared" ref="M172:M177" si="521">F172-O172</f>
        <v>0</v>
      </c>
      <c r="N172" s="862">
        <f t="shared" ref="N172:N177" si="522">P172-C172</f>
        <v>2.6999999999999993</v>
      </c>
      <c r="O172" s="439">
        <f>'[7]Смарт 2015'!L174</f>
        <v>0</v>
      </c>
      <c r="P172" s="697">
        <v>26.5</v>
      </c>
      <c r="Q172" s="695">
        <v>0</v>
      </c>
      <c r="R172" s="696">
        <v>34318.629999999997</v>
      </c>
      <c r="S172" s="696"/>
      <c r="T172" s="698">
        <f t="shared" ref="T172:T177" si="523">U172+Y172</f>
        <v>10913324.34</v>
      </c>
      <c r="U172" s="699">
        <f t="shared" ref="U172:U177" si="524">ROUND(R172*P172*12,2)</f>
        <v>10913324.34</v>
      </c>
      <c r="V172" s="433">
        <f t="shared" si="506"/>
        <v>10499324.34</v>
      </c>
      <c r="W172" s="11"/>
      <c r="X172" s="11">
        <v>414000</v>
      </c>
      <c r="Y172" s="699">
        <f t="shared" si="507"/>
        <v>0</v>
      </c>
      <c r="Z172" s="11">
        <f t="shared" si="508"/>
        <v>0</v>
      </c>
      <c r="AA172" s="11"/>
      <c r="AB172" s="11"/>
      <c r="AC172" s="698">
        <f t="shared" si="509"/>
        <v>10913324.34</v>
      </c>
      <c r="AD172" s="433">
        <f t="shared" si="510"/>
        <v>10499324.34</v>
      </c>
      <c r="AE172" s="11">
        <f t="shared" si="511"/>
        <v>0</v>
      </c>
      <c r="AF172" s="11">
        <f t="shared" si="511"/>
        <v>414000</v>
      </c>
      <c r="AG172" s="700">
        <f t="shared" si="512"/>
        <v>13670120.289999999</v>
      </c>
      <c r="AH172" s="11"/>
      <c r="AI172" s="1082"/>
      <c r="AJ172" s="910"/>
      <c r="AK172" s="910"/>
      <c r="AL172" s="702">
        <v>34318.629999999997</v>
      </c>
      <c r="AM172" s="702">
        <f t="shared" si="448"/>
        <v>0</v>
      </c>
      <c r="AN172" s="1233">
        <f>AO172-P172</f>
        <v>2.5</v>
      </c>
      <c r="AO172" s="695">
        <v>29</v>
      </c>
      <c r="AP172" s="695"/>
      <c r="AQ172" s="698">
        <f t="shared" ref="AQ172:AQ177" si="525">AR172+AV172</f>
        <v>11942883.199999999</v>
      </c>
      <c r="AR172" s="684">
        <f t="shared" si="346"/>
        <v>11942883.199999999</v>
      </c>
      <c r="AS172" s="11">
        <f t="shared" si="513"/>
        <v>11528883.199999999</v>
      </c>
      <c r="AT172" s="11">
        <f t="shared" ref="AT172:AT177" si="526">W172</f>
        <v>0</v>
      </c>
      <c r="AU172" s="11">
        <f t="shared" si="514"/>
        <v>414000</v>
      </c>
      <c r="AV172" s="684">
        <f t="shared" si="515"/>
        <v>0</v>
      </c>
      <c r="AW172" s="11">
        <f t="shared" si="516"/>
        <v>0</v>
      </c>
      <c r="AX172" s="11">
        <f t="shared" si="517"/>
        <v>0</v>
      </c>
      <c r="AY172" s="11">
        <f t="shared" si="517"/>
        <v>0</v>
      </c>
      <c r="AZ172" s="18">
        <f t="shared" ref="AZ172:AZ177" si="527">AX172+AT172</f>
        <v>0</v>
      </c>
      <c r="BA172" s="18">
        <f t="shared" si="518"/>
        <v>414000</v>
      </c>
      <c r="BB172" s="772">
        <f t="shared" ref="BB172:BB177" si="528">AW172+AS172</f>
        <v>11528883.199999999</v>
      </c>
      <c r="BC172" s="773">
        <f t="shared" ref="BC172:BC177" si="529">ROUND(BB172*1.302,1)</f>
        <v>15010605.9</v>
      </c>
      <c r="BD172" s="700"/>
      <c r="BE172" s="11"/>
      <c r="BF172" s="701"/>
      <c r="BG172" s="11"/>
      <c r="BH172" s="11"/>
      <c r="BI172" s="895">
        <v>1198761.44</v>
      </c>
      <c r="BK172" s="770"/>
    </row>
    <row r="173" spans="1:63">
      <c r="A173" s="11">
        <v>3</v>
      </c>
      <c r="B173" s="704" t="s">
        <v>76</v>
      </c>
      <c r="C173" s="695">
        <v>158.30000000000001</v>
      </c>
      <c r="D173" s="695">
        <v>8.1999999999999993</v>
      </c>
      <c r="E173" s="11">
        <v>42333.4</v>
      </c>
      <c r="F173" s="11">
        <v>1814.3</v>
      </c>
      <c r="G173" s="705">
        <v>22285.43</v>
      </c>
      <c r="H173" s="684">
        <f t="shared" si="519"/>
        <v>42333.4</v>
      </c>
      <c r="I173" s="11">
        <f t="shared" si="505"/>
        <v>39492.6</v>
      </c>
      <c r="J173" s="11"/>
      <c r="K173" s="11">
        <v>2840.8</v>
      </c>
      <c r="L173" s="684">
        <f t="shared" si="520"/>
        <v>1814.3</v>
      </c>
      <c r="M173" s="11">
        <f t="shared" si="521"/>
        <v>1543.3</v>
      </c>
      <c r="N173" s="862">
        <f t="shared" si="522"/>
        <v>-0.30000000000001137</v>
      </c>
      <c r="O173" s="439">
        <v>271</v>
      </c>
      <c r="P173" s="697">
        <v>158</v>
      </c>
      <c r="Q173" s="695">
        <v>11.5</v>
      </c>
      <c r="R173" s="705">
        <v>22285.43</v>
      </c>
      <c r="S173" s="696">
        <f>ROUND(F173/D173/12*1000,2)</f>
        <v>18438.009999999998</v>
      </c>
      <c r="T173" s="698">
        <f t="shared" si="523"/>
        <v>44797620.660000004</v>
      </c>
      <c r="U173" s="699">
        <f t="shared" si="524"/>
        <v>42253175.280000001</v>
      </c>
      <c r="V173" s="433">
        <f t="shared" si="506"/>
        <v>39575675.280000001</v>
      </c>
      <c r="W173" s="11"/>
      <c r="X173" s="11">
        <v>2677500</v>
      </c>
      <c r="Y173" s="699">
        <f t="shared" si="507"/>
        <v>2544445.38</v>
      </c>
      <c r="Z173" s="11">
        <f t="shared" si="508"/>
        <v>2312445.38</v>
      </c>
      <c r="AA173" s="11"/>
      <c r="AB173" s="11">
        <v>232000</v>
      </c>
      <c r="AC173" s="698">
        <f t="shared" si="509"/>
        <v>44797620.659999996</v>
      </c>
      <c r="AD173" s="433">
        <f t="shared" si="510"/>
        <v>41888120.659999996</v>
      </c>
      <c r="AE173" s="11">
        <f t="shared" si="511"/>
        <v>0</v>
      </c>
      <c r="AF173" s="11">
        <f t="shared" si="511"/>
        <v>2909500</v>
      </c>
      <c r="AG173" s="700">
        <f t="shared" si="512"/>
        <v>54538333.100000001</v>
      </c>
      <c r="AH173" s="11"/>
      <c r="AI173" s="1082"/>
      <c r="AJ173" s="910"/>
      <c r="AK173" s="910"/>
      <c r="AL173" s="706">
        <v>22285.43</v>
      </c>
      <c r="AM173" s="702">
        <f t="shared" si="448"/>
        <v>18438.009999999998</v>
      </c>
      <c r="AN173" s="1233"/>
      <c r="AO173" s="695">
        <v>158</v>
      </c>
      <c r="AP173" s="695">
        <v>11.5</v>
      </c>
      <c r="AQ173" s="698">
        <f t="shared" si="525"/>
        <v>44797620.68</v>
      </c>
      <c r="AR173" s="684">
        <f t="shared" si="346"/>
        <v>42253175.299999997</v>
      </c>
      <c r="AS173" s="11">
        <f t="shared" si="513"/>
        <v>39575675.299999997</v>
      </c>
      <c r="AT173" s="11">
        <f t="shared" si="526"/>
        <v>0</v>
      </c>
      <c r="AU173" s="11">
        <f t="shared" si="514"/>
        <v>2677500</v>
      </c>
      <c r="AV173" s="684">
        <f t="shared" si="515"/>
        <v>2544445.38</v>
      </c>
      <c r="AW173" s="11">
        <f t="shared" si="516"/>
        <v>2312445.38</v>
      </c>
      <c r="AX173" s="11">
        <f t="shared" si="517"/>
        <v>0</v>
      </c>
      <c r="AY173" s="11">
        <f>AB173</f>
        <v>232000</v>
      </c>
      <c r="AZ173" s="18">
        <f t="shared" si="527"/>
        <v>0</v>
      </c>
      <c r="BA173" s="18">
        <f t="shared" si="518"/>
        <v>2909500</v>
      </c>
      <c r="BB173" s="772">
        <f t="shared" si="528"/>
        <v>41888120.68</v>
      </c>
      <c r="BC173" s="773">
        <f t="shared" si="529"/>
        <v>54538333.100000001</v>
      </c>
      <c r="BD173" s="700"/>
      <c r="BE173" s="11"/>
      <c r="BF173" s="701"/>
      <c r="BG173" s="11"/>
      <c r="BH173" s="11"/>
      <c r="BI173" s="11" t="s">
        <v>683</v>
      </c>
      <c r="BK173" s="770"/>
    </row>
    <row r="174" spans="1:63">
      <c r="A174" s="11">
        <v>4</v>
      </c>
      <c r="B174" s="704" t="s">
        <v>77</v>
      </c>
      <c r="C174" s="695">
        <v>9.8000000000000007</v>
      </c>
      <c r="D174" s="695">
        <v>0.1</v>
      </c>
      <c r="E174" s="11">
        <v>2461.3000000000002</v>
      </c>
      <c r="F174" s="11">
        <v>12</v>
      </c>
      <c r="G174" s="707">
        <v>20929.419999999998</v>
      </c>
      <c r="H174" s="684">
        <f t="shared" si="519"/>
        <v>2461.3000000000002</v>
      </c>
      <c r="I174" s="11">
        <f t="shared" si="505"/>
        <v>2340.4</v>
      </c>
      <c r="J174" s="11"/>
      <c r="K174" s="11">
        <v>120.9</v>
      </c>
      <c r="L174" s="684">
        <f t="shared" si="520"/>
        <v>12</v>
      </c>
      <c r="M174" s="11">
        <f t="shared" si="521"/>
        <v>12</v>
      </c>
      <c r="N174" s="862">
        <f t="shared" si="522"/>
        <v>7.3000000000000007</v>
      </c>
      <c r="O174" s="439">
        <f>'[7]Смарт 2015'!L176</f>
        <v>0</v>
      </c>
      <c r="P174" s="697">
        <v>17.100000000000001</v>
      </c>
      <c r="Q174" s="695">
        <v>0.7</v>
      </c>
      <c r="R174" s="707">
        <v>20929.419999999998</v>
      </c>
      <c r="S174" s="696">
        <f>ROUND(F174/D174/12*1000,2)</f>
        <v>10000</v>
      </c>
      <c r="T174" s="698">
        <f t="shared" si="523"/>
        <v>4378716.9800000004</v>
      </c>
      <c r="U174" s="699">
        <f t="shared" si="524"/>
        <v>4294716.9800000004</v>
      </c>
      <c r="V174" s="433">
        <f t="shared" si="506"/>
        <v>4074716.9800000004</v>
      </c>
      <c r="W174" s="11"/>
      <c r="X174" s="11">
        <v>220000</v>
      </c>
      <c r="Y174" s="699">
        <f t="shared" si="507"/>
        <v>84000</v>
      </c>
      <c r="Z174" s="11">
        <f t="shared" si="508"/>
        <v>84000</v>
      </c>
      <c r="AA174" s="11"/>
      <c r="AB174" s="11"/>
      <c r="AC174" s="698">
        <f t="shared" si="509"/>
        <v>4378716.9800000004</v>
      </c>
      <c r="AD174" s="433">
        <f t="shared" si="510"/>
        <v>4158716.98</v>
      </c>
      <c r="AE174" s="11">
        <f t="shared" si="511"/>
        <v>0</v>
      </c>
      <c r="AF174" s="11">
        <f t="shared" si="511"/>
        <v>220000</v>
      </c>
      <c r="AG174" s="700">
        <f t="shared" si="512"/>
        <v>5414649.5099999998</v>
      </c>
      <c r="AH174" s="11"/>
      <c r="AI174" s="1082"/>
      <c r="AJ174" s="910"/>
      <c r="AK174" s="910"/>
      <c r="AL174" s="708">
        <v>20929.419999999998</v>
      </c>
      <c r="AM174" s="702">
        <f t="shared" si="448"/>
        <v>10000</v>
      </c>
      <c r="AN174" s="1233">
        <f>AO174-P174</f>
        <v>5.2999999999999972</v>
      </c>
      <c r="AO174" s="695">
        <v>22.4</v>
      </c>
      <c r="AP174" s="695">
        <v>0.5</v>
      </c>
      <c r="AQ174" s="698">
        <f t="shared" si="525"/>
        <v>5685828.0999999996</v>
      </c>
      <c r="AR174" s="684">
        <f t="shared" si="346"/>
        <v>5625828.0999999996</v>
      </c>
      <c r="AS174" s="11">
        <f t="shared" si="513"/>
        <v>5405828.0999999996</v>
      </c>
      <c r="AT174" s="11">
        <f t="shared" si="526"/>
        <v>0</v>
      </c>
      <c r="AU174" s="11">
        <f t="shared" si="514"/>
        <v>220000</v>
      </c>
      <c r="AV174" s="684">
        <f t="shared" si="515"/>
        <v>60000</v>
      </c>
      <c r="AW174" s="11">
        <f t="shared" si="516"/>
        <v>60000</v>
      </c>
      <c r="AX174" s="11">
        <f t="shared" si="517"/>
        <v>0</v>
      </c>
      <c r="AY174" s="11">
        <f t="shared" si="517"/>
        <v>0</v>
      </c>
      <c r="AZ174" s="18">
        <f t="shared" si="527"/>
        <v>0</v>
      </c>
      <c r="BA174" s="18">
        <f t="shared" si="518"/>
        <v>220000</v>
      </c>
      <c r="BB174" s="772">
        <f t="shared" si="528"/>
        <v>5465828.0999999996</v>
      </c>
      <c r="BC174" s="773">
        <f t="shared" si="529"/>
        <v>7116508.2000000002</v>
      </c>
      <c r="BD174" s="700"/>
      <c r="BE174" s="11"/>
      <c r="BF174" s="701"/>
      <c r="BG174" s="11"/>
      <c r="BH174" s="11"/>
      <c r="BI174" s="895" t="s">
        <v>684</v>
      </c>
      <c r="BJ174" s="769"/>
      <c r="BK174" s="770"/>
    </row>
    <row r="175" spans="1:63">
      <c r="A175" s="11">
        <v>5</v>
      </c>
      <c r="B175" s="694" t="s">
        <v>73</v>
      </c>
      <c r="C175" s="695"/>
      <c r="D175" s="695"/>
      <c r="E175" s="11"/>
      <c r="F175" s="11"/>
      <c r="G175" s="696"/>
      <c r="H175" s="684">
        <f t="shared" si="519"/>
        <v>0</v>
      </c>
      <c r="I175" s="11">
        <f t="shared" si="505"/>
        <v>0</v>
      </c>
      <c r="J175" s="11"/>
      <c r="K175" s="11"/>
      <c r="L175" s="684">
        <f t="shared" si="520"/>
        <v>0</v>
      </c>
      <c r="M175" s="11">
        <f t="shared" si="521"/>
        <v>0</v>
      </c>
      <c r="N175" s="862">
        <f t="shared" si="522"/>
        <v>0</v>
      </c>
      <c r="O175" s="439"/>
      <c r="P175" s="697">
        <v>0</v>
      </c>
      <c r="Q175" s="695">
        <v>0</v>
      </c>
      <c r="R175" s="696"/>
      <c r="S175" s="696"/>
      <c r="T175" s="698">
        <f t="shared" si="523"/>
        <v>0</v>
      </c>
      <c r="U175" s="699">
        <f t="shared" si="524"/>
        <v>0</v>
      </c>
      <c r="V175" s="433">
        <f t="shared" si="506"/>
        <v>0</v>
      </c>
      <c r="W175" s="11"/>
      <c r="X175" s="11"/>
      <c r="Y175" s="699">
        <f t="shared" si="507"/>
        <v>0</v>
      </c>
      <c r="Z175" s="11">
        <f t="shared" si="508"/>
        <v>0</v>
      </c>
      <c r="AA175" s="11"/>
      <c r="AB175" s="11"/>
      <c r="AC175" s="698">
        <f t="shared" si="509"/>
        <v>0</v>
      </c>
      <c r="AD175" s="433">
        <f t="shared" si="510"/>
        <v>0</v>
      </c>
      <c r="AE175" s="11">
        <f t="shared" si="511"/>
        <v>0</v>
      </c>
      <c r="AF175" s="11">
        <f t="shared" si="511"/>
        <v>0</v>
      </c>
      <c r="AG175" s="700">
        <f t="shared" si="512"/>
        <v>0</v>
      </c>
      <c r="AH175" s="11"/>
      <c r="AI175" s="1082"/>
      <c r="AJ175" s="910"/>
      <c r="AK175" s="910"/>
      <c r="AL175" s="702"/>
      <c r="AM175" s="702">
        <f t="shared" si="448"/>
        <v>0</v>
      </c>
      <c r="AN175" s="1233"/>
      <c r="AO175" s="695"/>
      <c r="AP175" s="695"/>
      <c r="AQ175" s="698">
        <f t="shared" si="525"/>
        <v>0</v>
      </c>
      <c r="AR175" s="684">
        <f t="shared" si="346"/>
        <v>0</v>
      </c>
      <c r="AS175" s="11">
        <f t="shared" si="513"/>
        <v>0</v>
      </c>
      <c r="AT175" s="11">
        <f t="shared" si="526"/>
        <v>0</v>
      </c>
      <c r="AU175" s="11">
        <f t="shared" si="514"/>
        <v>0</v>
      </c>
      <c r="AV175" s="684">
        <f t="shared" si="515"/>
        <v>0</v>
      </c>
      <c r="AW175" s="11">
        <f t="shared" si="516"/>
        <v>0</v>
      </c>
      <c r="AX175" s="11">
        <f t="shared" si="517"/>
        <v>0</v>
      </c>
      <c r="AY175" s="11">
        <f t="shared" si="517"/>
        <v>0</v>
      </c>
      <c r="AZ175" s="18">
        <f t="shared" si="527"/>
        <v>0</v>
      </c>
      <c r="BA175" s="18">
        <f t="shared" si="518"/>
        <v>0</v>
      </c>
      <c r="BB175" s="772">
        <f t="shared" si="528"/>
        <v>0</v>
      </c>
      <c r="BC175" s="773">
        <f t="shared" si="529"/>
        <v>0</v>
      </c>
      <c r="BD175" s="700"/>
      <c r="BE175" s="11"/>
      <c r="BF175" s="701"/>
      <c r="BG175" s="11"/>
      <c r="BH175" s="11"/>
      <c r="BI175" s="11"/>
      <c r="BK175" s="770"/>
    </row>
    <row r="176" spans="1:63">
      <c r="A176" s="11">
        <v>6</v>
      </c>
      <c r="B176" s="694" t="s">
        <v>74</v>
      </c>
      <c r="C176" s="695"/>
      <c r="D176" s="695"/>
      <c r="E176" s="11"/>
      <c r="F176" s="11"/>
      <c r="G176" s="696"/>
      <c r="H176" s="684">
        <f t="shared" si="519"/>
        <v>0</v>
      </c>
      <c r="I176" s="11">
        <f t="shared" si="505"/>
        <v>0</v>
      </c>
      <c r="J176" s="11"/>
      <c r="K176" s="11"/>
      <c r="L176" s="684">
        <f t="shared" si="520"/>
        <v>0</v>
      </c>
      <c r="M176" s="11">
        <f t="shared" si="521"/>
        <v>0</v>
      </c>
      <c r="N176" s="862">
        <f t="shared" si="522"/>
        <v>0</v>
      </c>
      <c r="O176" s="439">
        <f>'[7]Смарт 2015'!L180</f>
        <v>0</v>
      </c>
      <c r="P176" s="697">
        <v>0</v>
      </c>
      <c r="Q176" s="695">
        <v>0</v>
      </c>
      <c r="R176" s="696"/>
      <c r="S176" s="696"/>
      <c r="T176" s="698">
        <f t="shared" si="523"/>
        <v>0</v>
      </c>
      <c r="U176" s="699">
        <f t="shared" si="524"/>
        <v>0</v>
      </c>
      <c r="V176" s="433">
        <f t="shared" si="506"/>
        <v>0</v>
      </c>
      <c r="W176" s="11"/>
      <c r="X176" s="11"/>
      <c r="Y176" s="699">
        <f t="shared" si="507"/>
        <v>0</v>
      </c>
      <c r="Z176" s="11">
        <f t="shared" si="508"/>
        <v>0</v>
      </c>
      <c r="AA176" s="11"/>
      <c r="AB176" s="11"/>
      <c r="AC176" s="698">
        <f t="shared" si="509"/>
        <v>0</v>
      </c>
      <c r="AD176" s="433">
        <f t="shared" si="510"/>
        <v>0</v>
      </c>
      <c r="AE176" s="11">
        <f t="shared" si="511"/>
        <v>0</v>
      </c>
      <c r="AF176" s="11">
        <f t="shared" si="511"/>
        <v>0</v>
      </c>
      <c r="AG176" s="700">
        <f t="shared" si="512"/>
        <v>0</v>
      </c>
      <c r="AH176" s="11"/>
      <c r="AI176" s="1082"/>
      <c r="AJ176" s="910"/>
      <c r="AK176" s="910"/>
      <c r="AL176" s="702"/>
      <c r="AM176" s="702">
        <f t="shared" si="448"/>
        <v>0</v>
      </c>
      <c r="AN176" s="1233"/>
      <c r="AO176" s="695"/>
      <c r="AP176" s="695"/>
      <c r="AQ176" s="698">
        <f t="shared" si="525"/>
        <v>0</v>
      </c>
      <c r="AR176" s="684">
        <f t="shared" si="346"/>
        <v>0</v>
      </c>
      <c r="AS176" s="11">
        <f t="shared" si="513"/>
        <v>0</v>
      </c>
      <c r="AT176" s="11">
        <f t="shared" si="526"/>
        <v>0</v>
      </c>
      <c r="AU176" s="11">
        <f t="shared" si="514"/>
        <v>0</v>
      </c>
      <c r="AV176" s="684">
        <f t="shared" si="515"/>
        <v>0</v>
      </c>
      <c r="AW176" s="11">
        <f t="shared" si="516"/>
        <v>0</v>
      </c>
      <c r="AX176" s="11">
        <f t="shared" si="517"/>
        <v>0</v>
      </c>
      <c r="AY176" s="11">
        <f t="shared" si="517"/>
        <v>0</v>
      </c>
      <c r="AZ176" s="18">
        <f t="shared" si="527"/>
        <v>0</v>
      </c>
      <c r="BA176" s="18">
        <f t="shared" si="518"/>
        <v>0</v>
      </c>
      <c r="BB176" s="772">
        <f t="shared" si="528"/>
        <v>0</v>
      </c>
      <c r="BC176" s="773">
        <f t="shared" si="529"/>
        <v>0</v>
      </c>
      <c r="BD176" s="700"/>
      <c r="BE176" s="11"/>
      <c r="BF176" s="701"/>
      <c r="BG176" s="11"/>
      <c r="BH176" s="11"/>
      <c r="BI176" s="11"/>
      <c r="BK176" s="770"/>
    </row>
    <row r="177" spans="1:63">
      <c r="A177" s="11">
        <v>7</v>
      </c>
      <c r="B177" s="1131" t="s">
        <v>814</v>
      </c>
      <c r="C177" s="695">
        <v>203.2</v>
      </c>
      <c r="D177" s="695">
        <v>14.9</v>
      </c>
      <c r="E177" s="11">
        <v>19677.099999999999</v>
      </c>
      <c r="F177" s="11">
        <v>1314.9</v>
      </c>
      <c r="G177" s="696">
        <v>8069.68</v>
      </c>
      <c r="H177" s="684">
        <f t="shared" si="519"/>
        <v>19677.099999999999</v>
      </c>
      <c r="I177" s="11">
        <f t="shared" si="505"/>
        <v>19677.099999999999</v>
      </c>
      <c r="J177" s="11"/>
      <c r="K177" s="11">
        <v>0</v>
      </c>
      <c r="L177" s="684">
        <f t="shared" si="520"/>
        <v>1314.9</v>
      </c>
      <c r="M177" s="11">
        <f t="shared" si="521"/>
        <v>1314.9</v>
      </c>
      <c r="N177" s="862">
        <f t="shared" si="522"/>
        <v>28.800000000000011</v>
      </c>
      <c r="O177" s="439">
        <f>'[7]Смарт 2015'!L178</f>
        <v>0</v>
      </c>
      <c r="P177" s="697">
        <v>232</v>
      </c>
      <c r="Q177" s="695">
        <v>20</v>
      </c>
      <c r="R177" s="696">
        <v>8069.68</v>
      </c>
      <c r="S177" s="696">
        <f>ROUND(F177/D177/12*1000,2)</f>
        <v>7354.03</v>
      </c>
      <c r="T177" s="698">
        <f t="shared" si="523"/>
        <v>24230956.32</v>
      </c>
      <c r="U177" s="699">
        <f t="shared" si="524"/>
        <v>22465989.120000001</v>
      </c>
      <c r="V177" s="433">
        <f t="shared" si="506"/>
        <v>22465989.120000001</v>
      </c>
      <c r="W177" s="11"/>
      <c r="X177" s="11"/>
      <c r="Y177" s="699">
        <f t="shared" si="507"/>
        <v>1764967.2</v>
      </c>
      <c r="Z177" s="11">
        <f t="shared" si="508"/>
        <v>1764967.2</v>
      </c>
      <c r="AA177" s="11"/>
      <c r="AB177" s="11"/>
      <c r="AC177" s="698">
        <f t="shared" si="509"/>
        <v>24230956.32</v>
      </c>
      <c r="AD177" s="433">
        <f t="shared" si="510"/>
        <v>24230956.32</v>
      </c>
      <c r="AE177" s="11">
        <f t="shared" si="511"/>
        <v>0</v>
      </c>
      <c r="AF177" s="11">
        <f t="shared" si="511"/>
        <v>0</v>
      </c>
      <c r="AG177" s="700">
        <f t="shared" si="512"/>
        <v>31548705.129999999</v>
      </c>
      <c r="AH177" s="11"/>
      <c r="AI177" s="1082"/>
      <c r="AJ177" s="910"/>
      <c r="AK177" s="910"/>
      <c r="AL177" s="702">
        <v>8069.68</v>
      </c>
      <c r="AM177" s="702">
        <f t="shared" si="448"/>
        <v>7354.03</v>
      </c>
      <c r="AN177" s="1233">
        <f>AO177-P177</f>
        <v>11</v>
      </c>
      <c r="AO177" s="695">
        <v>243</v>
      </c>
      <c r="AP177" s="695">
        <v>20</v>
      </c>
      <c r="AQ177" s="698">
        <f t="shared" si="525"/>
        <v>25296154.099999998</v>
      </c>
      <c r="AR177" s="684">
        <f t="shared" si="346"/>
        <v>23531186.899999999</v>
      </c>
      <c r="AS177" s="11">
        <f t="shared" si="513"/>
        <v>23531186.899999999</v>
      </c>
      <c r="AT177" s="11">
        <f t="shared" si="526"/>
        <v>0</v>
      </c>
      <c r="AU177" s="11">
        <f t="shared" si="514"/>
        <v>0</v>
      </c>
      <c r="AV177" s="684">
        <f t="shared" si="515"/>
        <v>1764967.2</v>
      </c>
      <c r="AW177" s="11">
        <f t="shared" si="516"/>
        <v>1764967.2</v>
      </c>
      <c r="AX177" s="11">
        <f t="shared" si="517"/>
        <v>0</v>
      </c>
      <c r="AY177" s="11">
        <f t="shared" si="517"/>
        <v>0</v>
      </c>
      <c r="AZ177" s="18">
        <f t="shared" si="527"/>
        <v>0</v>
      </c>
      <c r="BA177" s="18">
        <f t="shared" si="518"/>
        <v>0</v>
      </c>
      <c r="BB177" s="772">
        <f t="shared" si="528"/>
        <v>25296154.099999998</v>
      </c>
      <c r="BC177" s="773">
        <f t="shared" si="529"/>
        <v>32935592.600000001</v>
      </c>
      <c r="BD177" s="700"/>
      <c r="BE177" s="11"/>
      <c r="BF177" s="701"/>
      <c r="BG177" s="11"/>
      <c r="BH177" s="11"/>
      <c r="BI177" s="11"/>
      <c r="BK177" s="770"/>
    </row>
    <row r="178" spans="1:63">
      <c r="A178" s="11"/>
      <c r="B178" s="1132" t="s">
        <v>815</v>
      </c>
      <c r="C178" s="695"/>
      <c r="D178" s="695"/>
      <c r="E178" s="11"/>
      <c r="F178" s="11"/>
      <c r="G178" s="696"/>
      <c r="H178" s="684"/>
      <c r="I178" s="11"/>
      <c r="J178" s="11"/>
      <c r="K178" s="11"/>
      <c r="L178" s="684"/>
      <c r="M178" s="11"/>
      <c r="N178" s="862"/>
      <c r="O178" s="439"/>
      <c r="P178" s="697"/>
      <c r="Q178" s="695"/>
      <c r="R178" s="696"/>
      <c r="S178" s="696"/>
      <c r="T178" s="698"/>
      <c r="U178" s="699"/>
      <c r="V178" s="433"/>
      <c r="W178" s="11"/>
      <c r="X178" s="11"/>
      <c r="Y178" s="699"/>
      <c r="Z178" s="11"/>
      <c r="AA178" s="11"/>
      <c r="AB178" s="11"/>
      <c r="AC178" s="698"/>
      <c r="AD178" s="433"/>
      <c r="AE178" s="11"/>
      <c r="AF178" s="11"/>
      <c r="AG178" s="700"/>
      <c r="AH178" s="11"/>
      <c r="AI178" s="1082"/>
      <c r="AJ178" s="910"/>
      <c r="AK178" s="910"/>
      <c r="AL178" s="702"/>
      <c r="AM178" s="702"/>
      <c r="AN178" s="1233"/>
      <c r="AO178" s="695"/>
      <c r="AP178" s="695"/>
      <c r="AQ178" s="698"/>
      <c r="AR178" s="684"/>
      <c r="AS178" s="11"/>
      <c r="AT178" s="11"/>
      <c r="AU178" s="11"/>
      <c r="AV178" s="684"/>
      <c r="AW178" s="11"/>
      <c r="AX178" s="11"/>
      <c r="AY178" s="11"/>
      <c r="AZ178" s="18"/>
      <c r="BA178" s="18"/>
      <c r="BB178" s="772"/>
      <c r="BC178" s="773"/>
      <c r="BD178" s="700"/>
      <c r="BE178" s="1045"/>
      <c r="BF178" s="1082"/>
      <c r="BG178" s="1045"/>
      <c r="BH178" s="11"/>
      <c r="BI178" s="11"/>
      <c r="BK178" s="872"/>
    </row>
    <row r="179" spans="1:63" ht="19.149999999999999" customHeight="1">
      <c r="A179" s="545">
        <v>19</v>
      </c>
      <c r="B179" s="426" t="s">
        <v>241</v>
      </c>
      <c r="C179" s="545">
        <f>C180+C181+C182+C183+C184+C185+C186</f>
        <v>498.8</v>
      </c>
      <c r="D179" s="545">
        <f>D180+D181+D182+D183+D184+D185+D186</f>
        <v>0</v>
      </c>
      <c r="E179" s="545">
        <f>SUM(E180:E186)</f>
        <v>108099.2</v>
      </c>
      <c r="F179" s="545">
        <f t="shared" ref="F179:AG179" si="530">F180+F181+F182+F183+F184+F185+F186</f>
        <v>0</v>
      </c>
      <c r="G179" s="558">
        <v>18059.88</v>
      </c>
      <c r="H179" s="545">
        <f t="shared" si="530"/>
        <v>108099.2</v>
      </c>
      <c r="I179" s="545">
        <f t="shared" si="530"/>
        <v>102531.79999999999</v>
      </c>
      <c r="J179" s="545">
        <f t="shared" si="530"/>
        <v>0</v>
      </c>
      <c r="K179" s="545">
        <f t="shared" si="530"/>
        <v>5567.4</v>
      </c>
      <c r="L179" s="545">
        <f t="shared" si="530"/>
        <v>0</v>
      </c>
      <c r="M179" s="545">
        <f t="shared" si="530"/>
        <v>0</v>
      </c>
      <c r="N179" s="545">
        <f t="shared" si="530"/>
        <v>0</v>
      </c>
      <c r="O179" s="559">
        <f t="shared" si="530"/>
        <v>2.5</v>
      </c>
      <c r="P179" s="560">
        <f t="shared" si="530"/>
        <v>501.30000000000007</v>
      </c>
      <c r="Q179" s="545">
        <f t="shared" si="530"/>
        <v>0</v>
      </c>
      <c r="R179" s="558">
        <v>18059.88</v>
      </c>
      <c r="S179" s="558"/>
      <c r="T179" s="561">
        <f>SUM(T180:T186)</f>
        <v>108555661</v>
      </c>
      <c r="U179" s="545">
        <f t="shared" ref="U179:AB179" si="531">U180+U181+U182+U183+U184+U185+U186</f>
        <v>108555661</v>
      </c>
      <c r="V179" s="545">
        <f t="shared" si="531"/>
        <v>102743361</v>
      </c>
      <c r="W179" s="545">
        <f t="shared" si="531"/>
        <v>0</v>
      </c>
      <c r="X179" s="545">
        <f t="shared" si="531"/>
        <v>5812300</v>
      </c>
      <c r="Y179" s="545">
        <f t="shared" si="531"/>
        <v>0</v>
      </c>
      <c r="Z179" s="545">
        <f t="shared" si="531"/>
        <v>0</v>
      </c>
      <c r="AA179" s="545">
        <f t="shared" si="531"/>
        <v>0</v>
      </c>
      <c r="AB179" s="545">
        <f t="shared" si="531"/>
        <v>0</v>
      </c>
      <c r="AC179" s="545">
        <f t="shared" si="530"/>
        <v>108555661</v>
      </c>
      <c r="AD179" s="545">
        <f t="shared" si="530"/>
        <v>102743361</v>
      </c>
      <c r="AE179" s="545">
        <f t="shared" si="530"/>
        <v>0</v>
      </c>
      <c r="AF179" s="545">
        <f t="shared" si="530"/>
        <v>5812300</v>
      </c>
      <c r="AG179" s="545">
        <f t="shared" si="530"/>
        <v>133771856.02000001</v>
      </c>
      <c r="AH179" s="558">
        <f>AI179-AG179+0.02</f>
        <v>4078994.9999999893</v>
      </c>
      <c r="AI179" s="1086">
        <v>137850851</v>
      </c>
      <c r="AJ179" s="765">
        <f>AH179+AG179</f>
        <v>137850851.02000001</v>
      </c>
      <c r="AK179" s="876">
        <f>AJ179-AI179</f>
        <v>2.000001072883606E-2</v>
      </c>
      <c r="AL179" s="563">
        <v>18059.88</v>
      </c>
      <c r="AM179" s="563">
        <f t="shared" si="448"/>
        <v>0</v>
      </c>
      <c r="AN179" s="545">
        <f>AN180+AN181+AN182+AN183+AN184+AN185+AN186</f>
        <v>0</v>
      </c>
      <c r="AO179" s="545">
        <f>AO180+AO181+AO182+AO183+AO184+AO185+AO186</f>
        <v>501.30000000000007</v>
      </c>
      <c r="AP179" s="545">
        <f t="shared" ref="AP179:BC179" si="532">AP180+AP181+AP182+AP183+AP184+AP185+AP186</f>
        <v>0</v>
      </c>
      <c r="AQ179" s="561">
        <f>SUM(AQ180:AQ186)</f>
        <v>108555660</v>
      </c>
      <c r="AR179" s="545">
        <f t="shared" si="346"/>
        <v>108641014.09999999</v>
      </c>
      <c r="AS179" s="545">
        <f t="shared" si="532"/>
        <v>102743360</v>
      </c>
      <c r="AT179" s="545">
        <f t="shared" si="532"/>
        <v>0</v>
      </c>
      <c r="AU179" s="545">
        <f t="shared" si="532"/>
        <v>5812300</v>
      </c>
      <c r="AV179" s="545">
        <f t="shared" si="515"/>
        <v>0</v>
      </c>
      <c r="AW179" s="545">
        <f>AW180+AW181+AW182+AW183+AW184+AW185+AW186</f>
        <v>0</v>
      </c>
      <c r="AX179" s="545">
        <f t="shared" si="532"/>
        <v>0</v>
      </c>
      <c r="AY179" s="545">
        <f t="shared" si="532"/>
        <v>0</v>
      </c>
      <c r="AZ179" s="545">
        <f t="shared" si="532"/>
        <v>0</v>
      </c>
      <c r="BA179" s="545">
        <f t="shared" si="532"/>
        <v>5812300</v>
      </c>
      <c r="BB179" s="545">
        <f t="shared" si="532"/>
        <v>102743360</v>
      </c>
      <c r="BC179" s="545">
        <f t="shared" si="532"/>
        <v>133771854.69999999</v>
      </c>
      <c r="BD179" s="558">
        <v>4176750</v>
      </c>
      <c r="BE179" s="564">
        <f>BD179+BC179</f>
        <v>137948604.69999999</v>
      </c>
      <c r="BF179" s="558">
        <v>137850851</v>
      </c>
      <c r="BG179" s="780">
        <f>BE179-BF179</f>
        <v>97753.699999988079</v>
      </c>
      <c r="BH179" s="876">
        <f>AG179+AH179</f>
        <v>137850851.02000001</v>
      </c>
      <c r="BI179" s="876">
        <f>BH179-AI179</f>
        <v>2.000001072883606E-2</v>
      </c>
    </row>
    <row r="180" spans="1:63">
      <c r="A180" s="11">
        <v>1</v>
      </c>
      <c r="B180" s="13" t="s">
        <v>71</v>
      </c>
      <c r="C180" s="17">
        <v>8</v>
      </c>
      <c r="D180" s="17"/>
      <c r="E180" s="11">
        <v>4515.3</v>
      </c>
      <c r="F180" s="11"/>
      <c r="G180" s="555">
        <v>47034.38</v>
      </c>
      <c r="H180" s="545">
        <f>I180+J180+K180</f>
        <v>4515.3</v>
      </c>
      <c r="I180" s="11">
        <f t="shared" ref="I180:I186" si="533">E180-K180-J180</f>
        <v>4337.8</v>
      </c>
      <c r="J180" s="11"/>
      <c r="K180" s="11">
        <v>177.5</v>
      </c>
      <c r="L180" s="545">
        <f t="shared" ref="L180:L186" si="534">M180+N180</f>
        <v>0</v>
      </c>
      <c r="M180" s="11">
        <f>F180-N180</f>
        <v>0</v>
      </c>
      <c r="N180" s="11"/>
      <c r="O180" s="861">
        <f>P180-C180</f>
        <v>0</v>
      </c>
      <c r="P180" s="444">
        <v>8</v>
      </c>
      <c r="Q180" s="17"/>
      <c r="R180" s="555">
        <v>47034.38</v>
      </c>
      <c r="S180" s="555"/>
      <c r="T180" s="554">
        <f>U180+Y180</f>
        <v>4515300.4800000004</v>
      </c>
      <c r="U180" s="556">
        <f t="shared" ref="U180:U185" si="535">ROUND(R180*P180*12,2)</f>
        <v>4515300.4800000004</v>
      </c>
      <c r="V180" s="433">
        <f t="shared" ref="V180:V185" si="536">U180-W180-X180</f>
        <v>4330000.4800000004</v>
      </c>
      <c r="W180" s="11"/>
      <c r="X180" s="11">
        <v>185300</v>
      </c>
      <c r="Y180" s="556">
        <f t="shared" ref="Y180:Y186" si="537">ROUND(S180*Q180*12,2)</f>
        <v>0</v>
      </c>
      <c r="Z180" s="11">
        <f t="shared" ref="Z180:Z186" si="538">Y180-AA180-AB180</f>
        <v>0</v>
      </c>
      <c r="AA180" s="11"/>
      <c r="AB180" s="11"/>
      <c r="AC180" s="554">
        <f t="shared" ref="AC180:AC186" si="539">AD180+AE180+AF180</f>
        <v>4515300.4800000004</v>
      </c>
      <c r="AD180" s="433">
        <f t="shared" ref="AD180:AD186" si="540">ROUND((Z180+V180),2)</f>
        <v>4330000.4800000004</v>
      </c>
      <c r="AE180" s="11">
        <f t="shared" ref="AE180:AF186" si="541">AA180+W180</f>
        <v>0</v>
      </c>
      <c r="AF180" s="11">
        <f t="shared" si="541"/>
        <v>185300</v>
      </c>
      <c r="AG180" s="544">
        <f t="shared" ref="AG180:AG186" si="542">ROUND(AD180*1.302,2)</f>
        <v>5637660.6200000001</v>
      </c>
      <c r="AH180" s="11"/>
      <c r="AI180" s="1084"/>
      <c r="AJ180" s="850"/>
      <c r="AK180" s="850"/>
      <c r="AL180" s="557">
        <v>47034.38</v>
      </c>
      <c r="AM180" s="557">
        <f t="shared" si="448"/>
        <v>0</v>
      </c>
      <c r="AN180" s="1233">
        <f>AO180-P180</f>
        <v>0</v>
      </c>
      <c r="AO180" s="17">
        <v>8</v>
      </c>
      <c r="AP180" s="17"/>
      <c r="AQ180" s="554">
        <f>AR180+AV180</f>
        <v>4515300.5</v>
      </c>
      <c r="AR180" s="545">
        <f t="shared" si="346"/>
        <v>4515300.5</v>
      </c>
      <c r="AS180" s="11">
        <f t="shared" ref="AS180:AS186" si="543">AR180-AT180-AU180</f>
        <v>4330000.5</v>
      </c>
      <c r="AT180" s="11">
        <f>W180</f>
        <v>0</v>
      </c>
      <c r="AU180" s="11">
        <f t="shared" ref="AU180:AU186" si="544">X180</f>
        <v>185300</v>
      </c>
      <c r="AV180" s="545">
        <f t="shared" si="515"/>
        <v>0</v>
      </c>
      <c r="AW180" s="11">
        <f t="shared" ref="AW180:AW186" si="545">AV180-AX180-AY180</f>
        <v>0</v>
      </c>
      <c r="AX180" s="11">
        <f t="shared" ref="AX180:AY186" si="546">AA180</f>
        <v>0</v>
      </c>
      <c r="AY180" s="11">
        <f t="shared" si="546"/>
        <v>0</v>
      </c>
      <c r="AZ180" s="18">
        <f>AX180+AT180</f>
        <v>0</v>
      </c>
      <c r="BA180" s="18">
        <f t="shared" ref="BA180:BA186" si="547">AY180+AU180</f>
        <v>185300</v>
      </c>
      <c r="BB180" s="19">
        <f>AW180+AS180</f>
        <v>4330000.5</v>
      </c>
      <c r="BC180" s="544">
        <f>ROUND(BB180*1.302,1)</f>
        <v>5637660.7000000002</v>
      </c>
      <c r="BD180" s="544"/>
      <c r="BE180" s="11"/>
      <c r="BF180" s="445"/>
      <c r="BG180" s="11"/>
      <c r="BH180" s="11"/>
      <c r="BI180" s="11"/>
    </row>
    <row r="181" spans="1:63">
      <c r="A181" s="11">
        <v>2</v>
      </c>
      <c r="B181" s="13" t="s">
        <v>72</v>
      </c>
      <c r="C181" s="17">
        <v>27</v>
      </c>
      <c r="D181" s="17">
        <v>0</v>
      </c>
      <c r="E181" s="11">
        <v>11760.4</v>
      </c>
      <c r="F181" s="11"/>
      <c r="G181" s="555">
        <v>36297.53</v>
      </c>
      <c r="H181" s="545">
        <f t="shared" ref="H181:H186" si="548">I181+J181+K181</f>
        <v>11760.4</v>
      </c>
      <c r="I181" s="11">
        <f t="shared" si="533"/>
        <v>11143.1</v>
      </c>
      <c r="J181" s="11"/>
      <c r="K181" s="11">
        <v>617.29999999999995</v>
      </c>
      <c r="L181" s="545">
        <f t="shared" si="534"/>
        <v>0</v>
      </c>
      <c r="M181" s="11">
        <f t="shared" ref="M181:M186" si="549">F181-N181</f>
        <v>0</v>
      </c>
      <c r="N181" s="11"/>
      <c r="O181" s="861">
        <f t="shared" ref="O181:O186" si="550">P181-C181</f>
        <v>0</v>
      </c>
      <c r="P181" s="444">
        <v>27</v>
      </c>
      <c r="Q181" s="17"/>
      <c r="R181" s="555">
        <v>36297.53</v>
      </c>
      <c r="S181" s="555"/>
      <c r="T181" s="554">
        <f t="shared" ref="T181:T186" si="551">U181+Y181</f>
        <v>11760399.720000001</v>
      </c>
      <c r="U181" s="556">
        <f t="shared" si="535"/>
        <v>11760399.720000001</v>
      </c>
      <c r="V181" s="433">
        <f t="shared" si="536"/>
        <v>11115899.720000001</v>
      </c>
      <c r="W181" s="11"/>
      <c r="X181" s="11">
        <v>644500</v>
      </c>
      <c r="Y181" s="556">
        <f t="shared" si="537"/>
        <v>0</v>
      </c>
      <c r="Z181" s="11">
        <f t="shared" si="538"/>
        <v>0</v>
      </c>
      <c r="AA181" s="11"/>
      <c r="AB181" s="11"/>
      <c r="AC181" s="554">
        <f t="shared" si="539"/>
        <v>11760399.720000001</v>
      </c>
      <c r="AD181" s="433">
        <f t="shared" si="540"/>
        <v>11115899.720000001</v>
      </c>
      <c r="AE181" s="11">
        <f t="shared" si="541"/>
        <v>0</v>
      </c>
      <c r="AF181" s="11">
        <f t="shared" si="541"/>
        <v>644500</v>
      </c>
      <c r="AG181" s="544">
        <f t="shared" si="542"/>
        <v>14472901.439999999</v>
      </c>
      <c r="AH181" s="11"/>
      <c r="AI181" s="1084"/>
      <c r="AJ181" s="850"/>
      <c r="AK181" s="850"/>
      <c r="AL181" s="557">
        <v>36297.53</v>
      </c>
      <c r="AM181" s="557">
        <f t="shared" si="448"/>
        <v>0</v>
      </c>
      <c r="AN181" s="1233"/>
      <c r="AO181" s="17">
        <v>27</v>
      </c>
      <c r="AP181" s="17"/>
      <c r="AQ181" s="554">
        <f t="shared" ref="AQ181:AQ186" si="552">AR181+AV181</f>
        <v>11760399.699999999</v>
      </c>
      <c r="AR181" s="545">
        <f t="shared" si="346"/>
        <v>11760399.699999999</v>
      </c>
      <c r="AS181" s="11">
        <f t="shared" si="543"/>
        <v>11115899.699999999</v>
      </c>
      <c r="AT181" s="11">
        <f t="shared" ref="AT181:AT186" si="553">W181</f>
        <v>0</v>
      </c>
      <c r="AU181" s="11">
        <f t="shared" si="544"/>
        <v>644500</v>
      </c>
      <c r="AV181" s="545">
        <f t="shared" si="515"/>
        <v>0</v>
      </c>
      <c r="AW181" s="11">
        <f t="shared" si="545"/>
        <v>0</v>
      </c>
      <c r="AX181" s="11">
        <f t="shared" si="546"/>
        <v>0</v>
      </c>
      <c r="AY181" s="11">
        <f t="shared" si="546"/>
        <v>0</v>
      </c>
      <c r="AZ181" s="18">
        <f t="shared" ref="AZ181:AZ186" si="554">AX181+AT181</f>
        <v>0</v>
      </c>
      <c r="BA181" s="18">
        <f t="shared" si="547"/>
        <v>644500</v>
      </c>
      <c r="BB181" s="19">
        <f t="shared" ref="BB181:BB186" si="555">AW181+AS181</f>
        <v>11115899.699999999</v>
      </c>
      <c r="BC181" s="544">
        <f t="shared" ref="BC181:BC186" si="556">ROUND(BB181*1.302,1)</f>
        <v>14472901.4</v>
      </c>
      <c r="BD181" s="544"/>
      <c r="BE181" s="11"/>
      <c r="BF181" s="445"/>
      <c r="BG181" s="11"/>
      <c r="BH181" s="11"/>
      <c r="BI181" s="11"/>
    </row>
    <row r="182" spans="1:63">
      <c r="A182" s="11">
        <v>3</v>
      </c>
      <c r="B182" s="14" t="s">
        <v>76</v>
      </c>
      <c r="C182" s="17">
        <v>236.8</v>
      </c>
      <c r="D182" s="17"/>
      <c r="E182" s="11">
        <v>62649.7</v>
      </c>
      <c r="F182" s="11">
        <v>0</v>
      </c>
      <c r="G182" s="29">
        <v>22047.33</v>
      </c>
      <c r="H182" s="545">
        <f t="shared" si="548"/>
        <v>62649.7</v>
      </c>
      <c r="I182" s="11">
        <f t="shared" si="533"/>
        <v>58183.5</v>
      </c>
      <c r="J182" s="11"/>
      <c r="K182" s="11">
        <v>4466.2</v>
      </c>
      <c r="L182" s="545">
        <f t="shared" si="534"/>
        <v>0</v>
      </c>
      <c r="M182" s="11">
        <f t="shared" si="549"/>
        <v>0</v>
      </c>
      <c r="N182" s="11"/>
      <c r="O182" s="861">
        <f t="shared" si="550"/>
        <v>-2.7000000000000171</v>
      </c>
      <c r="P182" s="444">
        <v>234.1</v>
      </c>
      <c r="Q182" s="17"/>
      <c r="R182" s="29">
        <v>22047.33</v>
      </c>
      <c r="S182" s="555"/>
      <c r="T182" s="554">
        <f t="shared" si="551"/>
        <v>61935359.439999998</v>
      </c>
      <c r="U182" s="556">
        <f t="shared" si="535"/>
        <v>61935359.439999998</v>
      </c>
      <c r="V182" s="433">
        <f t="shared" si="536"/>
        <v>57272659.439999998</v>
      </c>
      <c r="W182" s="11"/>
      <c r="X182" s="11">
        <v>4662700</v>
      </c>
      <c r="Y182" s="556">
        <f t="shared" si="537"/>
        <v>0</v>
      </c>
      <c r="Z182" s="11">
        <f t="shared" si="538"/>
        <v>0</v>
      </c>
      <c r="AA182" s="11"/>
      <c r="AB182" s="11"/>
      <c r="AC182" s="554">
        <f t="shared" si="539"/>
        <v>61935359.439999998</v>
      </c>
      <c r="AD182" s="433">
        <f t="shared" si="540"/>
        <v>57272659.439999998</v>
      </c>
      <c r="AE182" s="11">
        <f t="shared" si="541"/>
        <v>0</v>
      </c>
      <c r="AF182" s="11">
        <f t="shared" si="541"/>
        <v>4662700</v>
      </c>
      <c r="AG182" s="544">
        <f t="shared" si="542"/>
        <v>74569002.590000004</v>
      </c>
      <c r="AH182" s="11"/>
      <c r="AI182" s="1084"/>
      <c r="AJ182" s="850"/>
      <c r="AK182" s="850"/>
      <c r="AL182" s="440">
        <v>22047.33</v>
      </c>
      <c r="AM182" s="557">
        <f t="shared" si="448"/>
        <v>0</v>
      </c>
      <c r="AN182" s="1233"/>
      <c r="AO182" s="17">
        <v>234.1</v>
      </c>
      <c r="AP182" s="17"/>
      <c r="AQ182" s="554">
        <f t="shared" si="552"/>
        <v>61935359.399999999</v>
      </c>
      <c r="AR182" s="545">
        <f t="shared" si="346"/>
        <v>61935359.399999999</v>
      </c>
      <c r="AS182" s="11">
        <f t="shared" si="543"/>
        <v>57272659.399999999</v>
      </c>
      <c r="AT182" s="11">
        <f t="shared" si="553"/>
        <v>0</v>
      </c>
      <c r="AU182" s="11">
        <f t="shared" si="544"/>
        <v>4662700</v>
      </c>
      <c r="AV182" s="545">
        <f t="shared" si="515"/>
        <v>0</v>
      </c>
      <c r="AW182" s="11">
        <f t="shared" si="545"/>
        <v>0</v>
      </c>
      <c r="AX182" s="11">
        <f t="shared" si="546"/>
        <v>0</v>
      </c>
      <c r="AY182" s="11">
        <f t="shared" si="546"/>
        <v>0</v>
      </c>
      <c r="AZ182" s="18">
        <f t="shared" si="554"/>
        <v>0</v>
      </c>
      <c r="BA182" s="18">
        <f t="shared" si="547"/>
        <v>4662700</v>
      </c>
      <c r="BB182" s="19">
        <f t="shared" si="555"/>
        <v>57272659.399999999</v>
      </c>
      <c r="BC182" s="544">
        <f t="shared" si="556"/>
        <v>74569002.5</v>
      </c>
      <c r="BD182" s="544"/>
      <c r="BE182" s="11"/>
      <c r="BF182" s="445"/>
      <c r="BG182" s="11"/>
      <c r="BH182" s="11"/>
      <c r="BI182" s="11"/>
    </row>
    <row r="183" spans="1:63">
      <c r="A183" s="11">
        <v>4</v>
      </c>
      <c r="B183" s="14" t="s">
        <v>77</v>
      </c>
      <c r="C183" s="17">
        <v>6.8</v>
      </c>
      <c r="D183" s="17"/>
      <c r="E183" s="11">
        <v>1675</v>
      </c>
      <c r="F183" s="11">
        <v>0</v>
      </c>
      <c r="G183" s="432">
        <v>20526.96</v>
      </c>
      <c r="H183" s="545">
        <f t="shared" si="548"/>
        <v>1675</v>
      </c>
      <c r="I183" s="11">
        <f t="shared" si="533"/>
        <v>1514</v>
      </c>
      <c r="J183" s="11"/>
      <c r="K183" s="11">
        <v>161</v>
      </c>
      <c r="L183" s="545">
        <f t="shared" si="534"/>
        <v>0</v>
      </c>
      <c r="M183" s="11">
        <f t="shared" si="549"/>
        <v>0</v>
      </c>
      <c r="N183" s="11"/>
      <c r="O183" s="861">
        <f t="shared" si="550"/>
        <v>-0.5</v>
      </c>
      <c r="P183" s="444">
        <v>6.3</v>
      </c>
      <c r="Q183" s="17"/>
      <c r="R183" s="432">
        <v>20526.96</v>
      </c>
      <c r="S183" s="555"/>
      <c r="T183" s="554">
        <f t="shared" si="551"/>
        <v>1551838.18</v>
      </c>
      <c r="U183" s="556">
        <f t="shared" si="535"/>
        <v>1551838.18</v>
      </c>
      <c r="V183" s="433">
        <f t="shared" si="536"/>
        <v>1383838.18</v>
      </c>
      <c r="W183" s="11"/>
      <c r="X183" s="11">
        <v>168000</v>
      </c>
      <c r="Y183" s="556">
        <f t="shared" si="537"/>
        <v>0</v>
      </c>
      <c r="Z183" s="11">
        <f t="shared" si="538"/>
        <v>0</v>
      </c>
      <c r="AA183" s="11"/>
      <c r="AB183" s="11"/>
      <c r="AC183" s="554">
        <f t="shared" si="539"/>
        <v>1551838.18</v>
      </c>
      <c r="AD183" s="433">
        <f t="shared" si="540"/>
        <v>1383838.18</v>
      </c>
      <c r="AE183" s="11">
        <f t="shared" si="541"/>
        <v>0</v>
      </c>
      <c r="AF183" s="11">
        <f t="shared" si="541"/>
        <v>168000</v>
      </c>
      <c r="AG183" s="544">
        <f t="shared" si="542"/>
        <v>1801757.31</v>
      </c>
      <c r="AH183" s="11"/>
      <c r="AI183" s="1084"/>
      <c r="AJ183" s="850"/>
      <c r="AK183" s="850"/>
      <c r="AL183" s="441">
        <v>20526.96</v>
      </c>
      <c r="AM183" s="557">
        <f t="shared" si="448"/>
        <v>0</v>
      </c>
      <c r="AN183" s="1233"/>
      <c r="AO183" s="17">
        <v>6.3</v>
      </c>
      <c r="AP183" s="17"/>
      <c r="AQ183" s="554">
        <f t="shared" si="552"/>
        <v>1551838.2</v>
      </c>
      <c r="AR183" s="545">
        <f t="shared" si="346"/>
        <v>1551838.2</v>
      </c>
      <c r="AS183" s="11">
        <f t="shared" si="543"/>
        <v>1383838.2</v>
      </c>
      <c r="AT183" s="11">
        <f t="shared" si="553"/>
        <v>0</v>
      </c>
      <c r="AU183" s="11">
        <f t="shared" si="544"/>
        <v>168000</v>
      </c>
      <c r="AV183" s="545">
        <f t="shared" si="515"/>
        <v>0</v>
      </c>
      <c r="AW183" s="11">
        <f t="shared" si="545"/>
        <v>0</v>
      </c>
      <c r="AX183" s="11">
        <f t="shared" si="546"/>
        <v>0</v>
      </c>
      <c r="AY183" s="11">
        <f t="shared" si="546"/>
        <v>0</v>
      </c>
      <c r="AZ183" s="18">
        <f t="shared" si="554"/>
        <v>0</v>
      </c>
      <c r="BA183" s="18">
        <f t="shared" si="547"/>
        <v>168000</v>
      </c>
      <c r="BB183" s="19">
        <f t="shared" si="555"/>
        <v>1383838.2</v>
      </c>
      <c r="BC183" s="544">
        <f t="shared" si="556"/>
        <v>1801757.3</v>
      </c>
      <c r="BD183" s="544"/>
      <c r="BE183" s="11"/>
      <c r="BF183" s="445"/>
      <c r="BG183" s="11"/>
      <c r="BH183" s="11"/>
      <c r="BI183" s="11"/>
    </row>
    <row r="184" spans="1:63">
      <c r="A184" s="11">
        <v>5</v>
      </c>
      <c r="B184" s="13" t="s">
        <v>73</v>
      </c>
      <c r="C184" s="17"/>
      <c r="D184" s="17"/>
      <c r="E184" s="11"/>
      <c r="F184" s="11"/>
      <c r="G184" s="555"/>
      <c r="H184" s="545">
        <f t="shared" si="548"/>
        <v>0</v>
      </c>
      <c r="I184" s="11">
        <f t="shared" si="533"/>
        <v>0</v>
      </c>
      <c r="J184" s="11"/>
      <c r="K184" s="11"/>
      <c r="L184" s="545">
        <f t="shared" si="534"/>
        <v>0</v>
      </c>
      <c r="M184" s="11">
        <f t="shared" si="549"/>
        <v>0</v>
      </c>
      <c r="N184" s="11"/>
      <c r="O184" s="861">
        <f t="shared" si="550"/>
        <v>0</v>
      </c>
      <c r="P184" s="444"/>
      <c r="Q184" s="17"/>
      <c r="R184" s="555"/>
      <c r="S184" s="555"/>
      <c r="T184" s="554">
        <f t="shared" si="551"/>
        <v>0</v>
      </c>
      <c r="U184" s="556">
        <f t="shared" si="535"/>
        <v>0</v>
      </c>
      <c r="V184" s="433">
        <f t="shared" si="536"/>
        <v>0</v>
      </c>
      <c r="W184" s="11"/>
      <c r="X184" s="11"/>
      <c r="Y184" s="556">
        <f t="shared" si="537"/>
        <v>0</v>
      </c>
      <c r="Z184" s="11">
        <f t="shared" si="538"/>
        <v>0</v>
      </c>
      <c r="AA184" s="11"/>
      <c r="AB184" s="11"/>
      <c r="AC184" s="554">
        <f t="shared" si="539"/>
        <v>0</v>
      </c>
      <c r="AD184" s="433">
        <f t="shared" si="540"/>
        <v>0</v>
      </c>
      <c r="AE184" s="11">
        <f t="shared" si="541"/>
        <v>0</v>
      </c>
      <c r="AF184" s="11">
        <f t="shared" si="541"/>
        <v>0</v>
      </c>
      <c r="AG184" s="544">
        <f t="shared" si="542"/>
        <v>0</v>
      </c>
      <c r="AH184" s="11"/>
      <c r="AI184" s="1084"/>
      <c r="AJ184" s="850"/>
      <c r="AK184" s="850"/>
      <c r="AL184" s="557"/>
      <c r="AM184" s="557">
        <f t="shared" si="448"/>
        <v>0</v>
      </c>
      <c r="AN184" s="1233"/>
      <c r="AO184" s="17"/>
      <c r="AP184" s="17"/>
      <c r="AQ184" s="554">
        <f t="shared" si="552"/>
        <v>0</v>
      </c>
      <c r="AR184" s="545">
        <f t="shared" si="346"/>
        <v>0</v>
      </c>
      <c r="AS184" s="11">
        <f t="shared" si="543"/>
        <v>0</v>
      </c>
      <c r="AT184" s="11">
        <f t="shared" si="553"/>
        <v>0</v>
      </c>
      <c r="AU184" s="11">
        <f t="shared" si="544"/>
        <v>0</v>
      </c>
      <c r="AV184" s="545">
        <f t="shared" si="515"/>
        <v>0</v>
      </c>
      <c r="AW184" s="11">
        <f t="shared" si="545"/>
        <v>0</v>
      </c>
      <c r="AX184" s="11">
        <f t="shared" si="546"/>
        <v>0</v>
      </c>
      <c r="AY184" s="11">
        <f t="shared" si="546"/>
        <v>0</v>
      </c>
      <c r="AZ184" s="18">
        <f t="shared" si="554"/>
        <v>0</v>
      </c>
      <c r="BA184" s="18">
        <f t="shared" si="547"/>
        <v>0</v>
      </c>
      <c r="BB184" s="19">
        <f t="shared" si="555"/>
        <v>0</v>
      </c>
      <c r="BC184" s="544">
        <f t="shared" si="556"/>
        <v>0</v>
      </c>
      <c r="BD184" s="544"/>
      <c r="BE184" s="11"/>
      <c r="BF184" s="445"/>
      <c r="BG184" s="11"/>
      <c r="BH184" s="11"/>
      <c r="BI184" s="11"/>
    </row>
    <row r="185" spans="1:63">
      <c r="A185" s="11">
        <v>6</v>
      </c>
      <c r="B185" s="13" t="s">
        <v>74</v>
      </c>
      <c r="C185" s="17"/>
      <c r="D185" s="17"/>
      <c r="E185" s="11"/>
      <c r="F185" s="11"/>
      <c r="G185" s="555"/>
      <c r="H185" s="545">
        <f t="shared" si="548"/>
        <v>0</v>
      </c>
      <c r="I185" s="11">
        <f t="shared" si="533"/>
        <v>0</v>
      </c>
      <c r="J185" s="11"/>
      <c r="K185" s="11"/>
      <c r="L185" s="545">
        <f t="shared" si="534"/>
        <v>0</v>
      </c>
      <c r="M185" s="11">
        <f t="shared" si="549"/>
        <v>0</v>
      </c>
      <c r="N185" s="11"/>
      <c r="O185" s="861">
        <f t="shared" si="550"/>
        <v>0</v>
      </c>
      <c r="P185" s="444"/>
      <c r="Q185" s="17"/>
      <c r="R185" s="555"/>
      <c r="S185" s="555"/>
      <c r="T185" s="554">
        <f t="shared" si="551"/>
        <v>0</v>
      </c>
      <c r="U185" s="556">
        <f t="shared" si="535"/>
        <v>0</v>
      </c>
      <c r="V185" s="433">
        <f t="shared" si="536"/>
        <v>0</v>
      </c>
      <c r="W185" s="11"/>
      <c r="X185" s="11"/>
      <c r="Y185" s="556">
        <f t="shared" si="537"/>
        <v>0</v>
      </c>
      <c r="Z185" s="11">
        <f t="shared" si="538"/>
        <v>0</v>
      </c>
      <c r="AA185" s="11"/>
      <c r="AB185" s="11"/>
      <c r="AC185" s="554">
        <f t="shared" si="539"/>
        <v>0</v>
      </c>
      <c r="AD185" s="433">
        <f t="shared" si="540"/>
        <v>0</v>
      </c>
      <c r="AE185" s="11">
        <f t="shared" si="541"/>
        <v>0</v>
      </c>
      <c r="AF185" s="11">
        <f t="shared" si="541"/>
        <v>0</v>
      </c>
      <c r="AG185" s="544">
        <f t="shared" si="542"/>
        <v>0</v>
      </c>
      <c r="AH185" s="11"/>
      <c r="AI185" s="1084"/>
      <c r="AJ185" s="850"/>
      <c r="AK185" s="850"/>
      <c r="AL185" s="557"/>
      <c r="AM185" s="557">
        <f t="shared" si="448"/>
        <v>0</v>
      </c>
      <c r="AN185" s="1233"/>
      <c r="AO185" s="17"/>
      <c r="AP185" s="17"/>
      <c r="AQ185" s="554">
        <f t="shared" si="552"/>
        <v>0</v>
      </c>
      <c r="AR185" s="545">
        <f t="shared" si="346"/>
        <v>0</v>
      </c>
      <c r="AS185" s="11">
        <f t="shared" si="543"/>
        <v>0</v>
      </c>
      <c r="AT185" s="11">
        <f t="shared" si="553"/>
        <v>0</v>
      </c>
      <c r="AU185" s="11">
        <f t="shared" si="544"/>
        <v>0</v>
      </c>
      <c r="AV185" s="545">
        <f t="shared" si="515"/>
        <v>0</v>
      </c>
      <c r="AW185" s="11">
        <f t="shared" si="545"/>
        <v>0</v>
      </c>
      <c r="AX185" s="11">
        <f t="shared" si="546"/>
        <v>0</v>
      </c>
      <c r="AY185" s="11">
        <f t="shared" si="546"/>
        <v>0</v>
      </c>
      <c r="AZ185" s="18">
        <f t="shared" si="554"/>
        <v>0</v>
      </c>
      <c r="BA185" s="18">
        <f t="shared" si="547"/>
        <v>0</v>
      </c>
      <c r="BB185" s="19">
        <f t="shared" si="555"/>
        <v>0</v>
      </c>
      <c r="BC185" s="544">
        <f t="shared" si="556"/>
        <v>0</v>
      </c>
      <c r="BD185" s="544"/>
      <c r="BE185" s="11"/>
      <c r="BF185" s="445"/>
      <c r="BG185" s="11"/>
      <c r="BH185" s="11"/>
      <c r="BI185" s="11"/>
    </row>
    <row r="186" spans="1:63">
      <c r="A186" s="11">
        <v>7</v>
      </c>
      <c r="B186" s="1131" t="s">
        <v>814</v>
      </c>
      <c r="C186" s="17">
        <v>220.2</v>
      </c>
      <c r="D186" s="17"/>
      <c r="E186" s="11">
        <v>27498.799999999999</v>
      </c>
      <c r="F186" s="11">
        <v>0</v>
      </c>
      <c r="G186" s="555">
        <v>10406.75</v>
      </c>
      <c r="H186" s="545">
        <f t="shared" si="548"/>
        <v>27498.799999999999</v>
      </c>
      <c r="I186" s="11">
        <f t="shared" si="533"/>
        <v>27353.399999999998</v>
      </c>
      <c r="J186" s="11"/>
      <c r="K186" s="11">
        <v>145.4</v>
      </c>
      <c r="L186" s="545">
        <f t="shared" si="534"/>
        <v>0</v>
      </c>
      <c r="M186" s="11">
        <f t="shared" si="549"/>
        <v>0</v>
      </c>
      <c r="N186" s="11"/>
      <c r="O186" s="861">
        <f t="shared" si="550"/>
        <v>5.7000000000000171</v>
      </c>
      <c r="P186" s="444">
        <v>225.9</v>
      </c>
      <c r="Q186" s="17"/>
      <c r="R186" s="555">
        <v>10621.5</v>
      </c>
      <c r="S186" s="555"/>
      <c r="T186" s="554">
        <f t="shared" si="551"/>
        <v>28792763.18</v>
      </c>
      <c r="U186" s="554">
        <f>V186+X186</f>
        <v>28792763.18</v>
      </c>
      <c r="V186" s="433">
        <v>28640963.18</v>
      </c>
      <c r="W186" s="11"/>
      <c r="X186" s="11">
        <v>151800</v>
      </c>
      <c r="Y186" s="556">
        <f t="shared" si="537"/>
        <v>0</v>
      </c>
      <c r="Z186" s="11">
        <f t="shared" si="538"/>
        <v>0</v>
      </c>
      <c r="AA186" s="11"/>
      <c r="AB186" s="11"/>
      <c r="AC186" s="554">
        <f t="shared" si="539"/>
        <v>28792763.18</v>
      </c>
      <c r="AD186" s="433">
        <f t="shared" si="540"/>
        <v>28640963.18</v>
      </c>
      <c r="AE186" s="11">
        <f t="shared" si="541"/>
        <v>0</v>
      </c>
      <c r="AF186" s="11">
        <f t="shared" si="541"/>
        <v>151800</v>
      </c>
      <c r="AG186" s="544">
        <f t="shared" si="542"/>
        <v>37290534.060000002</v>
      </c>
      <c r="AH186" s="11"/>
      <c r="AI186" s="1084"/>
      <c r="AJ186" s="850"/>
      <c r="AK186" s="850"/>
      <c r="AL186" s="557">
        <v>10621.5</v>
      </c>
      <c r="AM186" s="557">
        <f t="shared" si="448"/>
        <v>0</v>
      </c>
      <c r="AN186" s="1233"/>
      <c r="AO186" s="17">
        <v>225.9</v>
      </c>
      <c r="AP186" s="17"/>
      <c r="AQ186" s="554">
        <f t="shared" si="552"/>
        <v>28792762.199999999</v>
      </c>
      <c r="AR186" s="545">
        <f t="shared" si="346"/>
        <v>28792762.199999999</v>
      </c>
      <c r="AS186" s="11">
        <f t="shared" si="543"/>
        <v>28640962.199999999</v>
      </c>
      <c r="AT186" s="11">
        <f t="shared" si="553"/>
        <v>0</v>
      </c>
      <c r="AU186" s="11">
        <f t="shared" si="544"/>
        <v>151800</v>
      </c>
      <c r="AV186" s="545">
        <f t="shared" si="515"/>
        <v>0</v>
      </c>
      <c r="AW186" s="11">
        <f t="shared" si="545"/>
        <v>0</v>
      </c>
      <c r="AX186" s="11">
        <f t="shared" si="546"/>
        <v>0</v>
      </c>
      <c r="AY186" s="11">
        <f t="shared" si="546"/>
        <v>0</v>
      </c>
      <c r="AZ186" s="18">
        <f t="shared" si="554"/>
        <v>0</v>
      </c>
      <c r="BA186" s="18">
        <f t="shared" si="547"/>
        <v>151800</v>
      </c>
      <c r="BB186" s="19">
        <f t="shared" si="555"/>
        <v>28640962.199999999</v>
      </c>
      <c r="BC186" s="544">
        <f t="shared" si="556"/>
        <v>37290532.799999997</v>
      </c>
      <c r="BD186" s="544"/>
      <c r="BE186" s="11"/>
      <c r="BF186" s="445"/>
      <c r="BG186" s="11"/>
      <c r="BH186" s="11"/>
      <c r="BI186" s="11"/>
    </row>
    <row r="187" spans="1:63">
      <c r="A187" s="11"/>
      <c r="B187" s="1132" t="s">
        <v>815</v>
      </c>
      <c r="C187" s="17"/>
      <c r="D187" s="17"/>
      <c r="E187" s="11"/>
      <c r="F187" s="11"/>
      <c r="G187" s="555"/>
      <c r="H187" s="545"/>
      <c r="I187" s="11"/>
      <c r="J187" s="11"/>
      <c r="K187" s="11"/>
      <c r="L187" s="545"/>
      <c r="M187" s="11"/>
      <c r="N187" s="11"/>
      <c r="O187" s="861"/>
      <c r="P187" s="444"/>
      <c r="Q187" s="17"/>
      <c r="R187" s="555"/>
      <c r="S187" s="555"/>
      <c r="T187" s="554"/>
      <c r="U187" s="554"/>
      <c r="V187" s="433"/>
      <c r="W187" s="11"/>
      <c r="X187" s="11"/>
      <c r="Y187" s="556"/>
      <c r="Z187" s="11"/>
      <c r="AA187" s="11"/>
      <c r="AB187" s="11"/>
      <c r="AC187" s="554"/>
      <c r="AD187" s="433"/>
      <c r="AE187" s="11"/>
      <c r="AF187" s="11"/>
      <c r="AG187" s="544"/>
      <c r="AH187" s="11"/>
      <c r="AI187" s="1084"/>
      <c r="AJ187" s="850"/>
      <c r="AK187" s="850"/>
      <c r="AL187" s="557"/>
      <c r="AM187" s="557"/>
      <c r="AN187" s="1233">
        <f>AO187-P187</f>
        <v>0</v>
      </c>
      <c r="AO187" s="17"/>
      <c r="AP187" s="17"/>
      <c r="AQ187" s="554"/>
      <c r="AR187" s="545"/>
      <c r="AS187" s="11"/>
      <c r="AT187" s="11"/>
      <c r="AU187" s="11"/>
      <c r="AV187" s="545"/>
      <c r="AW187" s="11"/>
      <c r="AX187" s="11"/>
      <c r="AY187" s="11"/>
      <c r="AZ187" s="18"/>
      <c r="BA187" s="18"/>
      <c r="BB187" s="19"/>
      <c r="BC187" s="544"/>
      <c r="BD187" s="544"/>
      <c r="BE187" s="1045"/>
      <c r="BF187" s="445"/>
      <c r="BG187" s="1045"/>
      <c r="BH187" s="11"/>
      <c r="BI187" s="11"/>
    </row>
    <row r="188" spans="1:63" ht="19.149999999999999" customHeight="1">
      <c r="A188" s="545">
        <v>20</v>
      </c>
      <c r="B188" s="426" t="s">
        <v>250</v>
      </c>
      <c r="C188" s="545">
        <f>C189+C190+C191+C192+C193+C194+C195</f>
        <v>507.40000000000003</v>
      </c>
      <c r="D188" s="545">
        <f>D189+D190+D191+D192+D193+D194+D195</f>
        <v>24.200000000000003</v>
      </c>
      <c r="E188" s="545">
        <f>SUM(E189:E195)</f>
        <v>111150.50000000001</v>
      </c>
      <c r="F188" s="545">
        <f t="shared" ref="F188:AG188" si="557">F189+F190+F191+F192+F193+F194+F195</f>
        <v>3339.5</v>
      </c>
      <c r="G188" s="558">
        <v>18273.5</v>
      </c>
      <c r="H188" s="545">
        <f t="shared" si="557"/>
        <v>111150.50000000001</v>
      </c>
      <c r="I188" s="545">
        <f t="shared" si="557"/>
        <v>107846.8</v>
      </c>
      <c r="J188" s="545">
        <f t="shared" si="557"/>
        <v>113.2</v>
      </c>
      <c r="K188" s="545">
        <f t="shared" si="557"/>
        <v>3190.5</v>
      </c>
      <c r="L188" s="545">
        <f t="shared" si="557"/>
        <v>3339.5</v>
      </c>
      <c r="M188" s="545">
        <f t="shared" si="557"/>
        <v>3339.5</v>
      </c>
      <c r="N188" s="545">
        <f t="shared" si="557"/>
        <v>0</v>
      </c>
      <c r="O188" s="559">
        <f t="shared" si="557"/>
        <v>10.649999999999993</v>
      </c>
      <c r="P188" s="560">
        <f t="shared" si="557"/>
        <v>518.04999999999995</v>
      </c>
      <c r="Q188" s="545">
        <f t="shared" si="557"/>
        <v>27.5</v>
      </c>
      <c r="R188" s="558">
        <v>18273.5</v>
      </c>
      <c r="S188" s="558"/>
      <c r="T188" s="561">
        <f>SUM(T189:T195)</f>
        <v>121055163.18000001</v>
      </c>
      <c r="U188" s="545">
        <f t="shared" ref="U188:AB188" si="558">U189+U190+U191+U192+U193+U194+U195</f>
        <v>117266463.18000001</v>
      </c>
      <c r="V188" s="545">
        <f t="shared" si="558"/>
        <v>113536563.18000001</v>
      </c>
      <c r="W188" s="545">
        <f t="shared" si="558"/>
        <v>130000</v>
      </c>
      <c r="X188" s="545">
        <f t="shared" si="558"/>
        <v>3601400</v>
      </c>
      <c r="Y188" s="545">
        <f t="shared" si="558"/>
        <v>3788700</v>
      </c>
      <c r="Z188" s="545">
        <f t="shared" si="558"/>
        <v>3788700</v>
      </c>
      <c r="AA188" s="545">
        <f t="shared" si="558"/>
        <v>0</v>
      </c>
      <c r="AB188" s="545">
        <f t="shared" si="558"/>
        <v>0</v>
      </c>
      <c r="AC188" s="545">
        <f t="shared" si="557"/>
        <v>121056663.18000001</v>
      </c>
      <c r="AD188" s="545">
        <f t="shared" si="557"/>
        <v>117325263.18000001</v>
      </c>
      <c r="AE188" s="545">
        <f t="shared" si="557"/>
        <v>130000</v>
      </c>
      <c r="AF188" s="545">
        <f t="shared" si="557"/>
        <v>3601400</v>
      </c>
      <c r="AG188" s="545">
        <f t="shared" si="557"/>
        <v>152757492.66</v>
      </c>
      <c r="AH188" s="765">
        <f>8277100+9470.82-3027570.82</f>
        <v>5259000</v>
      </c>
      <c r="AI188" s="1086">
        <v>152774313.63</v>
      </c>
      <c r="AJ188" s="765">
        <f>AH188+AG188</f>
        <v>158016492.66</v>
      </c>
      <c r="AK188" s="876">
        <f>AJ188-AI188</f>
        <v>5242179.0300000012</v>
      </c>
      <c r="AL188" s="563">
        <v>18273.5</v>
      </c>
      <c r="AM188" s="563">
        <f t="shared" si="448"/>
        <v>0</v>
      </c>
      <c r="AN188" s="545">
        <f>AN189+AN190+AN191+AN192+AN193+AN194+AN195</f>
        <v>16.450000000000003</v>
      </c>
      <c r="AO188" s="545">
        <f>AO189+AO190+AO191+AO192+AO193+AO194+AO195</f>
        <v>534.5</v>
      </c>
      <c r="AP188" s="545">
        <f t="shared" ref="AP188:BC188" si="559">AP189+AP190+AP191+AP192+AP193+AP194+AP195</f>
        <v>27.5</v>
      </c>
      <c r="AQ188" s="561">
        <f>SUM(AQ189:AQ195)</f>
        <v>120231875</v>
      </c>
      <c r="AR188" s="545">
        <f t="shared" si="346"/>
        <v>117206229</v>
      </c>
      <c r="AS188" s="545">
        <f t="shared" si="559"/>
        <v>112669331</v>
      </c>
      <c r="AT188" s="545">
        <f t="shared" si="559"/>
        <v>130000</v>
      </c>
      <c r="AU188" s="545">
        <f t="shared" si="559"/>
        <v>3601400</v>
      </c>
      <c r="AV188" s="545">
        <f t="shared" si="515"/>
        <v>0</v>
      </c>
      <c r="AW188" s="545">
        <f>AW189+AW190+AW191+AW192+AW193+AW194+AW195</f>
        <v>3831144</v>
      </c>
      <c r="AX188" s="545">
        <f t="shared" si="559"/>
        <v>0</v>
      </c>
      <c r="AY188" s="545">
        <f t="shared" si="559"/>
        <v>0</v>
      </c>
      <c r="AZ188" s="545">
        <f t="shared" si="559"/>
        <v>130000</v>
      </c>
      <c r="BA188" s="545">
        <f t="shared" si="559"/>
        <v>3601400</v>
      </c>
      <c r="BB188" s="545">
        <f t="shared" si="559"/>
        <v>116500475</v>
      </c>
      <c r="BC188" s="545">
        <f t="shared" si="559"/>
        <v>151683618.5</v>
      </c>
      <c r="BD188" s="558">
        <f>9365900+46087.37</f>
        <v>9411987.3699999992</v>
      </c>
      <c r="BE188" s="564">
        <f>BD188+BC188</f>
        <v>161095605.87</v>
      </c>
      <c r="BF188" s="562">
        <v>152774313.63</v>
      </c>
      <c r="BG188" s="565">
        <f>BE188-BF188</f>
        <v>8321292.2400000095</v>
      </c>
      <c r="BH188" s="876">
        <f>AG188+AH188</f>
        <v>158016492.66</v>
      </c>
      <c r="BI188" s="876">
        <f>BH188-AI188</f>
        <v>5242179.0300000012</v>
      </c>
    </row>
    <row r="189" spans="1:63">
      <c r="A189" s="11">
        <v>1</v>
      </c>
      <c r="B189" s="13" t="s">
        <v>71</v>
      </c>
      <c r="C189" s="17">
        <v>12</v>
      </c>
      <c r="D189" s="17"/>
      <c r="E189" s="11">
        <v>6143.9</v>
      </c>
      <c r="F189" s="11"/>
      <c r="G189" s="555">
        <v>42668.06</v>
      </c>
      <c r="H189" s="545">
        <f>I189+J189+K189</f>
        <v>6143.9</v>
      </c>
      <c r="I189" s="11">
        <f t="shared" ref="I189:I195" si="560">E189-K189-J189</f>
        <v>6047.4</v>
      </c>
      <c r="J189" s="11">
        <v>0.3</v>
      </c>
      <c r="K189" s="11">
        <v>96.2</v>
      </c>
      <c r="L189" s="545">
        <f t="shared" ref="L189:L195" si="561">M189+N189</f>
        <v>0</v>
      </c>
      <c r="M189" s="11">
        <f>F189-N189</f>
        <v>0</v>
      </c>
      <c r="N189" s="11"/>
      <c r="O189" s="861">
        <f>P189-C189</f>
        <v>0</v>
      </c>
      <c r="P189" s="444">
        <v>12</v>
      </c>
      <c r="Q189" s="17">
        <v>0</v>
      </c>
      <c r="R189" s="555">
        <v>42624.305555555555</v>
      </c>
      <c r="S189" s="555"/>
      <c r="T189" s="554">
        <f>U189+Y189</f>
        <v>6137900</v>
      </c>
      <c r="U189" s="556">
        <f t="shared" ref="U189:U194" si="562">ROUND(R189*P189*12,2)</f>
        <v>6137900</v>
      </c>
      <c r="V189" s="433">
        <f t="shared" ref="V189:V194" si="563">U189-W189-X189</f>
        <v>6033300</v>
      </c>
      <c r="W189" s="11">
        <v>4000</v>
      </c>
      <c r="X189" s="11">
        <v>100600</v>
      </c>
      <c r="Y189" s="556">
        <f t="shared" ref="Y189:Y194" si="564">ROUND(S189*Q189*12,2)</f>
        <v>0</v>
      </c>
      <c r="Z189" s="11">
        <f t="shared" ref="Z189:Z194" si="565">Y189-AA189-AB189</f>
        <v>0</v>
      </c>
      <c r="AA189" s="11"/>
      <c r="AB189" s="11"/>
      <c r="AC189" s="554">
        <f t="shared" ref="AC189:AC195" si="566">AD189+AE189+AF189</f>
        <v>6137900</v>
      </c>
      <c r="AD189" s="433">
        <f t="shared" ref="AD189:AD195" si="567">ROUND((Z189+V189),2)</f>
        <v>6033300</v>
      </c>
      <c r="AE189" s="11">
        <f t="shared" ref="AE189:AF195" si="568">AA189+W189</f>
        <v>4000</v>
      </c>
      <c r="AF189" s="11">
        <f t="shared" si="568"/>
        <v>100600</v>
      </c>
      <c r="AG189" s="544">
        <f t="shared" ref="AG189:AG195" si="569">ROUND(AD189*1.302,2)</f>
        <v>7855356.5999999996</v>
      </c>
      <c r="AH189" s="11">
        <f>5259000</f>
        <v>5259000</v>
      </c>
      <c r="AI189" s="1003">
        <f>AG188+AH188</f>
        <v>158016492.66</v>
      </c>
      <c r="AJ189" s="1004"/>
      <c r="AK189" s="1004"/>
      <c r="AL189" s="557">
        <f>AR189/12/AO189</f>
        <v>42624.305555555555</v>
      </c>
      <c r="AM189" s="557">
        <f t="shared" si="448"/>
        <v>0</v>
      </c>
      <c r="AN189" s="1233"/>
      <c r="AO189" s="17">
        <v>12</v>
      </c>
      <c r="AP189" s="17"/>
      <c r="AQ189" s="554">
        <f>AR189+AV189</f>
        <v>6137900</v>
      </c>
      <c r="AR189" s="545">
        <f>AS189+AT189+AU189</f>
        <v>6137900</v>
      </c>
      <c r="AS189" s="11">
        <v>6033300</v>
      </c>
      <c r="AT189" s="11">
        <f>W189</f>
        <v>4000</v>
      </c>
      <c r="AU189" s="11">
        <f t="shared" ref="AU189:AU195" si="570">X189</f>
        <v>100600</v>
      </c>
      <c r="AV189" s="545">
        <f t="shared" si="515"/>
        <v>0</v>
      </c>
      <c r="AW189" s="11">
        <f t="shared" ref="AW189:AW194" si="571">AV189-AX189-AY189</f>
        <v>0</v>
      </c>
      <c r="AX189" s="11">
        <f t="shared" ref="AX189:AY195" si="572">AA189</f>
        <v>0</v>
      </c>
      <c r="AY189" s="11">
        <f t="shared" si="572"/>
        <v>0</v>
      </c>
      <c r="AZ189" s="18">
        <f>AX189+AT189</f>
        <v>4000</v>
      </c>
      <c r="BA189" s="18">
        <f t="shared" ref="BA189:BA195" si="573">AY189+AU189</f>
        <v>100600</v>
      </c>
      <c r="BB189" s="19">
        <f>AW189+AS189</f>
        <v>6033300</v>
      </c>
      <c r="BC189" s="544">
        <f>ROUND(BB189*1.302,1)</f>
        <v>7855356.5999999996</v>
      </c>
      <c r="BD189" s="544"/>
      <c r="BE189" s="11"/>
      <c r="BF189" s="742">
        <f>BC188+BD188</f>
        <v>161095605.87</v>
      </c>
      <c r="BG189" s="11"/>
      <c r="BH189" s="11"/>
      <c r="BI189" s="11"/>
    </row>
    <row r="190" spans="1:63">
      <c r="A190" s="11">
        <v>2</v>
      </c>
      <c r="B190" s="13" t="s">
        <v>72</v>
      </c>
      <c r="C190" s="17">
        <v>41.5</v>
      </c>
      <c r="D190" s="17">
        <v>0.8</v>
      </c>
      <c r="E190" s="11">
        <v>15962</v>
      </c>
      <c r="F190" s="11">
        <v>344.1</v>
      </c>
      <c r="G190" s="555">
        <v>32052.81</v>
      </c>
      <c r="H190" s="545">
        <f t="shared" ref="H190:H195" si="574">I190+J190+K190</f>
        <v>15962</v>
      </c>
      <c r="I190" s="11">
        <f t="shared" si="560"/>
        <v>15597.300000000001</v>
      </c>
      <c r="J190" s="11">
        <v>0.3</v>
      </c>
      <c r="K190" s="11">
        <v>364.4</v>
      </c>
      <c r="L190" s="545">
        <f t="shared" si="561"/>
        <v>344.1</v>
      </c>
      <c r="M190" s="11">
        <f t="shared" ref="M190:M195" si="575">F190-N190</f>
        <v>344.1</v>
      </c>
      <c r="N190" s="11"/>
      <c r="O190" s="861">
        <f t="shared" ref="O190:O195" si="576">P190-C190</f>
        <v>0.89999999999999858</v>
      </c>
      <c r="P190" s="444">
        <v>42.4</v>
      </c>
      <c r="Q190" s="17">
        <v>0.5</v>
      </c>
      <c r="R190" s="555">
        <v>33643.278301886792</v>
      </c>
      <c r="S190" s="555">
        <f>Y190/12/Q190</f>
        <v>42150</v>
      </c>
      <c r="T190" s="554">
        <f t="shared" ref="T190:T195" si="577">U190+Y190</f>
        <v>17370600</v>
      </c>
      <c r="U190" s="556">
        <f t="shared" si="562"/>
        <v>17117700</v>
      </c>
      <c r="V190" s="433">
        <f t="shared" si="563"/>
        <v>16721700</v>
      </c>
      <c r="W190" s="11">
        <v>4500</v>
      </c>
      <c r="X190" s="11">
        <v>391500</v>
      </c>
      <c r="Y190" s="556">
        <f>Z190</f>
        <v>252900</v>
      </c>
      <c r="Z190" s="11">
        <v>252900</v>
      </c>
      <c r="AA190" s="11"/>
      <c r="AB190" s="11"/>
      <c r="AC190" s="554">
        <f t="shared" si="566"/>
        <v>17370600</v>
      </c>
      <c r="AD190" s="433">
        <f t="shared" si="567"/>
        <v>16974600</v>
      </c>
      <c r="AE190" s="11">
        <f t="shared" si="568"/>
        <v>4500</v>
      </c>
      <c r="AF190" s="11">
        <f t="shared" si="568"/>
        <v>391500</v>
      </c>
      <c r="AG190" s="544">
        <f t="shared" si="569"/>
        <v>22100929.199999999</v>
      </c>
      <c r="AH190" s="433">
        <f>AH188-AH189</f>
        <v>0</v>
      </c>
      <c r="AI190" s="1003">
        <f>AI189-AI188</f>
        <v>5242179.0300000012</v>
      </c>
      <c r="AJ190" s="1004"/>
      <c r="AK190" s="1004"/>
      <c r="AL190" s="557">
        <f>AR190/12/AO190</f>
        <v>32656.589147286821</v>
      </c>
      <c r="AM190" s="557">
        <f>AW190/12/AP190</f>
        <v>42150</v>
      </c>
      <c r="AN190" s="1233">
        <f>AO190-P190</f>
        <v>0.60000000000000142</v>
      </c>
      <c r="AO190" s="17">
        <v>43</v>
      </c>
      <c r="AP190" s="17">
        <v>0.5</v>
      </c>
      <c r="AQ190" s="554">
        <f t="shared" ref="AQ190:AQ195" si="578">AR190+AV190</f>
        <v>17103700</v>
      </c>
      <c r="AR190" s="545">
        <f>AS190+AT190+AU190</f>
        <v>16850800</v>
      </c>
      <c r="AS190" s="11">
        <v>16454800</v>
      </c>
      <c r="AT190" s="11">
        <f t="shared" ref="AT190:AT195" si="579">W190</f>
        <v>4500</v>
      </c>
      <c r="AU190" s="11">
        <f t="shared" si="570"/>
        <v>391500</v>
      </c>
      <c r="AV190" s="545">
        <f>AW190</f>
        <v>252900</v>
      </c>
      <c r="AW190" s="11">
        <v>252900</v>
      </c>
      <c r="AX190" s="11">
        <f t="shared" si="572"/>
        <v>0</v>
      </c>
      <c r="AY190" s="11">
        <f t="shared" si="572"/>
        <v>0</v>
      </c>
      <c r="AZ190" s="18">
        <f t="shared" ref="AZ190:AZ195" si="580">AX190+AT190</f>
        <v>4500</v>
      </c>
      <c r="BA190" s="18">
        <f t="shared" si="573"/>
        <v>391500</v>
      </c>
      <c r="BB190" s="19">
        <f t="shared" ref="BB190:BB195" si="581">AW190+AS190</f>
        <v>16707700</v>
      </c>
      <c r="BC190" s="544">
        <f t="shared" ref="BC190:BC195" si="582">ROUND(BB190*1.302,1)</f>
        <v>21753425.399999999</v>
      </c>
      <c r="BD190" s="544"/>
      <c r="BE190" s="11"/>
      <c r="BF190" s="445"/>
      <c r="BG190" s="11"/>
      <c r="BH190" s="11"/>
      <c r="BI190" s="11"/>
    </row>
    <row r="191" spans="1:63">
      <c r="A191" s="11">
        <v>3</v>
      </c>
      <c r="B191" s="14" t="s">
        <v>76</v>
      </c>
      <c r="C191" s="17">
        <v>248.1</v>
      </c>
      <c r="D191" s="17">
        <v>9.5</v>
      </c>
      <c r="E191" s="11">
        <v>64714.3</v>
      </c>
      <c r="F191" s="11">
        <v>1496.9</v>
      </c>
      <c r="G191" s="29">
        <v>21774.32</v>
      </c>
      <c r="H191" s="545">
        <f t="shared" si="574"/>
        <v>64714.3</v>
      </c>
      <c r="I191" s="11">
        <f t="shared" si="560"/>
        <v>61872.200000000004</v>
      </c>
      <c r="J191" s="11">
        <v>112.2</v>
      </c>
      <c r="K191" s="11">
        <v>2729.9</v>
      </c>
      <c r="L191" s="545">
        <f t="shared" si="561"/>
        <v>1496.9</v>
      </c>
      <c r="M191" s="11">
        <f t="shared" si="575"/>
        <v>1496.9</v>
      </c>
      <c r="N191" s="11"/>
      <c r="O191" s="861">
        <f t="shared" si="576"/>
        <v>-3.1999999999999886</v>
      </c>
      <c r="P191" s="444">
        <v>244.9</v>
      </c>
      <c r="Q191" s="17">
        <v>11.1</v>
      </c>
      <c r="R191" s="29">
        <v>21757.996461140599</v>
      </c>
      <c r="S191" s="555">
        <f>Z191/12/Q191</f>
        <v>14189.18918918919</v>
      </c>
      <c r="T191" s="554">
        <f t="shared" si="577"/>
        <v>65832400</v>
      </c>
      <c r="U191" s="556">
        <f t="shared" si="562"/>
        <v>63942400</v>
      </c>
      <c r="V191" s="433">
        <f t="shared" si="563"/>
        <v>60713100</v>
      </c>
      <c r="W191" s="11">
        <v>120000</v>
      </c>
      <c r="X191" s="11">
        <v>3109300</v>
      </c>
      <c r="Y191" s="556">
        <f>Z191</f>
        <v>1890000</v>
      </c>
      <c r="Z191" s="11">
        <v>1890000</v>
      </c>
      <c r="AA191" s="11"/>
      <c r="AB191" s="11"/>
      <c r="AC191" s="554">
        <f t="shared" si="566"/>
        <v>65832400</v>
      </c>
      <c r="AD191" s="433">
        <f t="shared" si="567"/>
        <v>62603100</v>
      </c>
      <c r="AE191" s="11">
        <f t="shared" si="568"/>
        <v>120000</v>
      </c>
      <c r="AF191" s="11">
        <f t="shared" si="568"/>
        <v>3109300</v>
      </c>
      <c r="AG191" s="544">
        <f t="shared" si="569"/>
        <v>81509236.200000003</v>
      </c>
      <c r="AH191" s="11"/>
      <c r="AI191" s="1084"/>
      <c r="AJ191" s="850"/>
      <c r="AK191" s="850"/>
      <c r="AL191" s="440">
        <f>AR191/12/AO191</f>
        <v>21847.863073363278</v>
      </c>
      <c r="AM191" s="557">
        <f>AV191/12/AP191</f>
        <v>14189.18918918919</v>
      </c>
      <c r="AN191" s="1233"/>
      <c r="AO191" s="17">
        <v>244.9</v>
      </c>
      <c r="AP191" s="17">
        <v>11.1</v>
      </c>
      <c r="AQ191" s="554">
        <f t="shared" si="578"/>
        <v>66096500</v>
      </c>
      <c r="AR191" s="545">
        <f>AS191+AT191+AU191</f>
        <v>64206500</v>
      </c>
      <c r="AS191" s="11">
        <v>60977200</v>
      </c>
      <c r="AT191" s="11">
        <f t="shared" si="579"/>
        <v>120000</v>
      </c>
      <c r="AU191" s="11">
        <f t="shared" si="570"/>
        <v>3109300</v>
      </c>
      <c r="AV191" s="545">
        <f>AW191</f>
        <v>1890000</v>
      </c>
      <c r="AW191" s="11">
        <v>1890000</v>
      </c>
      <c r="AX191" s="11">
        <f t="shared" si="572"/>
        <v>0</v>
      </c>
      <c r="AY191" s="11">
        <f t="shared" si="572"/>
        <v>0</v>
      </c>
      <c r="AZ191" s="18">
        <f t="shared" si="580"/>
        <v>120000</v>
      </c>
      <c r="BA191" s="18">
        <f t="shared" si="573"/>
        <v>3109300</v>
      </c>
      <c r="BB191" s="19">
        <f t="shared" si="581"/>
        <v>62867200</v>
      </c>
      <c r="BC191" s="544">
        <f t="shared" si="582"/>
        <v>81853094.400000006</v>
      </c>
      <c r="BD191" s="544"/>
      <c r="BE191" s="11"/>
      <c r="BF191" s="445"/>
      <c r="BG191" s="11"/>
      <c r="BH191" s="11"/>
      <c r="BI191" s="11"/>
    </row>
    <row r="192" spans="1:63">
      <c r="A192" s="11">
        <v>4</v>
      </c>
      <c r="B192" s="14" t="s">
        <v>77</v>
      </c>
      <c r="C192" s="17"/>
      <c r="D192" s="17"/>
      <c r="E192" s="11"/>
      <c r="F192" s="11">
        <v>0</v>
      </c>
      <c r="G192" s="555"/>
      <c r="H192" s="545">
        <f t="shared" si="574"/>
        <v>0</v>
      </c>
      <c r="I192" s="11">
        <f t="shared" si="560"/>
        <v>0</v>
      </c>
      <c r="J192" s="11"/>
      <c r="K192" s="11">
        <v>0</v>
      </c>
      <c r="L192" s="545">
        <f t="shared" si="561"/>
        <v>0</v>
      </c>
      <c r="M192" s="11">
        <f t="shared" si="575"/>
        <v>0</v>
      </c>
      <c r="N192" s="11"/>
      <c r="O192" s="861">
        <f t="shared" si="576"/>
        <v>5.9</v>
      </c>
      <c r="P192" s="781">
        <v>5.9</v>
      </c>
      <c r="Q192" s="782">
        <v>0</v>
      </c>
      <c r="R192" s="29">
        <v>19495.762711864405</v>
      </c>
      <c r="S192" s="555"/>
      <c r="T192" s="554">
        <f t="shared" si="577"/>
        <v>1380300</v>
      </c>
      <c r="U192" s="556">
        <f t="shared" si="562"/>
        <v>1380300</v>
      </c>
      <c r="V192" s="433">
        <f t="shared" si="563"/>
        <v>1380300</v>
      </c>
      <c r="W192" s="11">
        <v>0</v>
      </c>
      <c r="X192" s="11">
        <v>0</v>
      </c>
      <c r="Y192" s="556">
        <f t="shared" si="564"/>
        <v>0</v>
      </c>
      <c r="Z192" s="11">
        <f t="shared" si="565"/>
        <v>0</v>
      </c>
      <c r="AA192" s="11"/>
      <c r="AB192" s="11"/>
      <c r="AC192" s="554">
        <f t="shared" si="566"/>
        <v>1380300</v>
      </c>
      <c r="AD192" s="433">
        <f t="shared" si="567"/>
        <v>1380300</v>
      </c>
      <c r="AE192" s="11">
        <f t="shared" si="568"/>
        <v>0</v>
      </c>
      <c r="AF192" s="11">
        <f t="shared" si="568"/>
        <v>0</v>
      </c>
      <c r="AG192" s="544">
        <f t="shared" si="569"/>
        <v>1797150.6</v>
      </c>
      <c r="AH192" s="11"/>
      <c r="AI192" s="1084"/>
      <c r="AJ192" s="850"/>
      <c r="AK192" s="850"/>
      <c r="AL192" s="557">
        <f>AR192/12/AO192</f>
        <v>19200</v>
      </c>
      <c r="AM192" s="557">
        <f t="shared" si="448"/>
        <v>0</v>
      </c>
      <c r="AN192" s="1233">
        <f>AO192-P192</f>
        <v>9.9999999999999645E-2</v>
      </c>
      <c r="AO192" s="17">
        <v>6</v>
      </c>
      <c r="AP192" s="17"/>
      <c r="AQ192" s="554">
        <f t="shared" si="578"/>
        <v>1382400</v>
      </c>
      <c r="AR192" s="545">
        <f>AS192</f>
        <v>1382400</v>
      </c>
      <c r="AS192" s="11">
        <v>1382400</v>
      </c>
      <c r="AT192" s="11">
        <f t="shared" si="579"/>
        <v>0</v>
      </c>
      <c r="AU192" s="11">
        <f t="shared" si="570"/>
        <v>0</v>
      </c>
      <c r="AV192" s="545">
        <f t="shared" si="515"/>
        <v>0</v>
      </c>
      <c r="AW192" s="11">
        <f t="shared" si="571"/>
        <v>0</v>
      </c>
      <c r="AX192" s="11">
        <f t="shared" si="572"/>
        <v>0</v>
      </c>
      <c r="AY192" s="11">
        <f t="shared" si="572"/>
        <v>0</v>
      </c>
      <c r="AZ192" s="18">
        <f t="shared" si="580"/>
        <v>0</v>
      </c>
      <c r="BA192" s="18">
        <f t="shared" si="573"/>
        <v>0</v>
      </c>
      <c r="BB192" s="19">
        <f t="shared" si="581"/>
        <v>1382400</v>
      </c>
      <c r="BC192" s="544">
        <f t="shared" si="582"/>
        <v>1799884.8</v>
      </c>
      <c r="BD192" s="544"/>
      <c r="BE192" s="11"/>
      <c r="BF192" s="445"/>
      <c r="BG192" s="11"/>
      <c r="BH192" s="11"/>
      <c r="BI192" s="11"/>
    </row>
    <row r="193" spans="1:61">
      <c r="A193" s="11">
        <v>5</v>
      </c>
      <c r="B193" s="13" t="s">
        <v>73</v>
      </c>
      <c r="C193" s="17"/>
      <c r="D193" s="17"/>
      <c r="E193" s="11"/>
      <c r="F193" s="11"/>
      <c r="G193" s="555"/>
      <c r="H193" s="545">
        <f t="shared" si="574"/>
        <v>0</v>
      </c>
      <c r="I193" s="11">
        <f t="shared" si="560"/>
        <v>0</v>
      </c>
      <c r="J193" s="11"/>
      <c r="K193" s="11"/>
      <c r="L193" s="545">
        <f t="shared" si="561"/>
        <v>0</v>
      </c>
      <c r="M193" s="11">
        <f t="shared" si="575"/>
        <v>0</v>
      </c>
      <c r="N193" s="11"/>
      <c r="O193" s="861">
        <f t="shared" si="576"/>
        <v>0</v>
      </c>
      <c r="P193" s="444"/>
      <c r="Q193" s="17"/>
      <c r="R193" s="555"/>
      <c r="S193" s="555"/>
      <c r="T193" s="554">
        <f t="shared" si="577"/>
        <v>0</v>
      </c>
      <c r="U193" s="556">
        <f t="shared" si="562"/>
        <v>0</v>
      </c>
      <c r="V193" s="433">
        <f t="shared" si="563"/>
        <v>0</v>
      </c>
      <c r="W193" s="11"/>
      <c r="X193" s="11"/>
      <c r="Y193" s="556">
        <f t="shared" si="564"/>
        <v>0</v>
      </c>
      <c r="Z193" s="11">
        <f t="shared" si="565"/>
        <v>0</v>
      </c>
      <c r="AA193" s="11"/>
      <c r="AB193" s="11"/>
      <c r="AC193" s="554">
        <f t="shared" si="566"/>
        <v>0</v>
      </c>
      <c r="AD193" s="433">
        <f t="shared" si="567"/>
        <v>0</v>
      </c>
      <c r="AE193" s="11">
        <f t="shared" si="568"/>
        <v>0</v>
      </c>
      <c r="AF193" s="11">
        <f t="shared" si="568"/>
        <v>0</v>
      </c>
      <c r="AG193" s="544">
        <f t="shared" si="569"/>
        <v>0</v>
      </c>
      <c r="AH193" s="11"/>
      <c r="AI193" s="1084"/>
      <c r="AJ193" s="850"/>
      <c r="AK193" s="850"/>
      <c r="AL193" s="557"/>
      <c r="AM193" s="557">
        <f t="shared" si="448"/>
        <v>0</v>
      </c>
      <c r="AN193" s="1233"/>
      <c r="AO193" s="17"/>
      <c r="AP193" s="17"/>
      <c r="AQ193" s="554">
        <f t="shared" si="578"/>
        <v>0</v>
      </c>
      <c r="AR193" s="545">
        <f>ROUND((AL193*AO193*12),1)</f>
        <v>0</v>
      </c>
      <c r="AS193" s="11">
        <f>AR193-AT193-AU193</f>
        <v>0</v>
      </c>
      <c r="AT193" s="11">
        <f t="shared" si="579"/>
        <v>0</v>
      </c>
      <c r="AU193" s="11">
        <f t="shared" si="570"/>
        <v>0</v>
      </c>
      <c r="AV193" s="545">
        <f t="shared" si="515"/>
        <v>0</v>
      </c>
      <c r="AW193" s="11">
        <f t="shared" si="571"/>
        <v>0</v>
      </c>
      <c r="AX193" s="11">
        <f t="shared" si="572"/>
        <v>0</v>
      </c>
      <c r="AY193" s="11">
        <f t="shared" si="572"/>
        <v>0</v>
      </c>
      <c r="AZ193" s="18">
        <f t="shared" si="580"/>
        <v>0</v>
      </c>
      <c r="BA193" s="18">
        <f t="shared" si="573"/>
        <v>0</v>
      </c>
      <c r="BB193" s="19">
        <f t="shared" si="581"/>
        <v>0</v>
      </c>
      <c r="BC193" s="544">
        <f t="shared" si="582"/>
        <v>0</v>
      </c>
      <c r="BD193" s="544"/>
      <c r="BE193" s="11"/>
      <c r="BF193" s="445"/>
      <c r="BG193" s="11"/>
      <c r="BH193" s="11"/>
      <c r="BI193" s="11"/>
    </row>
    <row r="194" spans="1:61">
      <c r="A194" s="11">
        <v>6</v>
      </c>
      <c r="B194" s="13" t="s">
        <v>74</v>
      </c>
      <c r="C194" s="17"/>
      <c r="D194" s="17"/>
      <c r="E194" s="11"/>
      <c r="F194" s="11"/>
      <c r="G194" s="555"/>
      <c r="H194" s="545">
        <f t="shared" si="574"/>
        <v>0</v>
      </c>
      <c r="I194" s="11">
        <f t="shared" si="560"/>
        <v>0</v>
      </c>
      <c r="J194" s="11"/>
      <c r="K194" s="11"/>
      <c r="L194" s="545">
        <f t="shared" si="561"/>
        <v>0</v>
      </c>
      <c r="M194" s="11">
        <f t="shared" si="575"/>
        <v>0</v>
      </c>
      <c r="N194" s="11"/>
      <c r="O194" s="861">
        <f t="shared" si="576"/>
        <v>0.25</v>
      </c>
      <c r="P194" s="444">
        <f>1/12*3</f>
        <v>0.25</v>
      </c>
      <c r="Q194" s="17"/>
      <c r="R194" s="29">
        <v>15733.333333333334</v>
      </c>
      <c r="S194" s="555"/>
      <c r="T194" s="554">
        <f t="shared" si="577"/>
        <v>47200</v>
      </c>
      <c r="U194" s="556">
        <f t="shared" si="562"/>
        <v>47200</v>
      </c>
      <c r="V194" s="433">
        <f t="shared" si="563"/>
        <v>47200</v>
      </c>
      <c r="W194" s="11"/>
      <c r="X194" s="11"/>
      <c r="Y194" s="556">
        <f t="shared" si="564"/>
        <v>0</v>
      </c>
      <c r="Z194" s="11">
        <f t="shared" si="565"/>
        <v>0</v>
      </c>
      <c r="AA194" s="11"/>
      <c r="AB194" s="11"/>
      <c r="AC194" s="554">
        <f t="shared" si="566"/>
        <v>47200</v>
      </c>
      <c r="AD194" s="433">
        <f t="shared" si="567"/>
        <v>47200</v>
      </c>
      <c r="AE194" s="11">
        <f t="shared" si="568"/>
        <v>0</v>
      </c>
      <c r="AF194" s="11">
        <f t="shared" si="568"/>
        <v>0</v>
      </c>
      <c r="AG194" s="544">
        <f t="shared" si="569"/>
        <v>61454.400000000001</v>
      </c>
      <c r="AH194" s="11"/>
      <c r="AI194" s="1084"/>
      <c r="AJ194" s="850"/>
      <c r="AK194" s="850"/>
      <c r="AL194" s="557">
        <f>AR194/12/AO194</f>
        <v>15708.333333333334</v>
      </c>
      <c r="AM194" s="557">
        <f t="shared" si="448"/>
        <v>0</v>
      </c>
      <c r="AN194" s="1233">
        <f>AO194-P194</f>
        <v>0.75</v>
      </c>
      <c r="AO194" s="17">
        <v>1</v>
      </c>
      <c r="AP194" s="17"/>
      <c r="AQ194" s="554">
        <f t="shared" si="578"/>
        <v>188500</v>
      </c>
      <c r="AR194" s="545">
        <f>AS194</f>
        <v>188500</v>
      </c>
      <c r="AS194" s="11">
        <v>188500</v>
      </c>
      <c r="AT194" s="11">
        <f t="shared" si="579"/>
        <v>0</v>
      </c>
      <c r="AU194" s="11">
        <f t="shared" si="570"/>
        <v>0</v>
      </c>
      <c r="AV194" s="545">
        <f t="shared" si="515"/>
        <v>0</v>
      </c>
      <c r="AW194" s="11">
        <f t="shared" si="571"/>
        <v>0</v>
      </c>
      <c r="AX194" s="11">
        <f t="shared" si="572"/>
        <v>0</v>
      </c>
      <c r="AY194" s="11">
        <f t="shared" si="572"/>
        <v>0</v>
      </c>
      <c r="AZ194" s="18">
        <f t="shared" si="580"/>
        <v>0</v>
      </c>
      <c r="BA194" s="18">
        <f t="shared" si="573"/>
        <v>0</v>
      </c>
      <c r="BB194" s="19">
        <f t="shared" si="581"/>
        <v>188500</v>
      </c>
      <c r="BC194" s="544">
        <f t="shared" si="582"/>
        <v>245427</v>
      </c>
      <c r="BD194" s="544"/>
      <c r="BE194" s="11"/>
      <c r="BF194" s="445"/>
      <c r="BG194" s="11"/>
      <c r="BH194" s="11"/>
      <c r="BI194" s="11"/>
    </row>
    <row r="195" spans="1:61">
      <c r="A195" s="11">
        <v>7</v>
      </c>
      <c r="B195" s="1131" t="s">
        <v>814</v>
      </c>
      <c r="C195" s="17">
        <v>205.8</v>
      </c>
      <c r="D195" s="17">
        <v>13.9</v>
      </c>
      <c r="E195" s="11">
        <v>24330.3</v>
      </c>
      <c r="F195" s="11">
        <v>1498.5</v>
      </c>
      <c r="G195" s="555">
        <v>9852.08</v>
      </c>
      <c r="H195" s="545">
        <f t="shared" si="574"/>
        <v>24330.3</v>
      </c>
      <c r="I195" s="11">
        <f t="shared" si="560"/>
        <v>24329.899999999998</v>
      </c>
      <c r="J195" s="11">
        <v>0.4</v>
      </c>
      <c r="K195" s="11"/>
      <c r="L195" s="545">
        <f t="shared" si="561"/>
        <v>1498.5</v>
      </c>
      <c r="M195" s="11">
        <f t="shared" si="575"/>
        <v>1498.5</v>
      </c>
      <c r="N195" s="11"/>
      <c r="O195" s="861">
        <f t="shared" si="576"/>
        <v>6.7999999999999829</v>
      </c>
      <c r="P195" s="783">
        <v>212.6</v>
      </c>
      <c r="Q195" s="17">
        <v>15.9</v>
      </c>
      <c r="R195" s="555">
        <v>11226.467223267482</v>
      </c>
      <c r="S195" s="555">
        <f>Z195/12/Q195</f>
        <v>8625.7861635220124</v>
      </c>
      <c r="T195" s="554">
        <f t="shared" si="577"/>
        <v>30286763.18</v>
      </c>
      <c r="U195" s="554">
        <f>V195+X195</f>
        <v>28640963.18</v>
      </c>
      <c r="V195" s="433">
        <v>28640963.18</v>
      </c>
      <c r="W195" s="11">
        <v>1500</v>
      </c>
      <c r="X195" s="11">
        <v>0</v>
      </c>
      <c r="Y195" s="556">
        <f>Z195</f>
        <v>1645800</v>
      </c>
      <c r="Z195" s="11">
        <v>1645800</v>
      </c>
      <c r="AA195" s="11"/>
      <c r="AB195" s="11"/>
      <c r="AC195" s="554">
        <f t="shared" si="566"/>
        <v>30288263.18</v>
      </c>
      <c r="AD195" s="433">
        <f t="shared" si="567"/>
        <v>30286763.18</v>
      </c>
      <c r="AE195" s="11">
        <f t="shared" si="568"/>
        <v>1500</v>
      </c>
      <c r="AF195" s="11">
        <f t="shared" si="568"/>
        <v>0</v>
      </c>
      <c r="AG195" s="544">
        <f t="shared" si="569"/>
        <v>39433365.659999996</v>
      </c>
      <c r="AH195" s="11"/>
      <c r="AI195" s="1084"/>
      <c r="AJ195" s="850"/>
      <c r="AK195" s="850"/>
      <c r="AL195" s="557">
        <f>AR195/12/AO195</f>
        <v>10118.127929115406</v>
      </c>
      <c r="AM195" s="557">
        <f>AV195/12/AP195</f>
        <v>8848.2389937106909</v>
      </c>
      <c r="AN195" s="1233">
        <f>AO195-P195</f>
        <v>15</v>
      </c>
      <c r="AO195" s="17">
        <f>207.6+19+1</f>
        <v>227.6</v>
      </c>
      <c r="AP195" s="17">
        <v>15.9</v>
      </c>
      <c r="AQ195" s="554">
        <f t="shared" si="578"/>
        <v>29322875</v>
      </c>
      <c r="AR195" s="545">
        <f>AS195+AT195</f>
        <v>27634631</v>
      </c>
      <c r="AS195" s="11">
        <v>27633131</v>
      </c>
      <c r="AT195" s="11">
        <f t="shared" si="579"/>
        <v>1500</v>
      </c>
      <c r="AU195" s="11">
        <f t="shared" si="570"/>
        <v>0</v>
      </c>
      <c r="AV195" s="545">
        <f>AW195</f>
        <v>1688244</v>
      </c>
      <c r="AW195" s="11">
        <v>1688244</v>
      </c>
      <c r="AX195" s="11">
        <f t="shared" si="572"/>
        <v>0</v>
      </c>
      <c r="AY195" s="11">
        <f t="shared" si="572"/>
        <v>0</v>
      </c>
      <c r="AZ195" s="18">
        <f t="shared" si="580"/>
        <v>1500</v>
      </c>
      <c r="BA195" s="18">
        <f t="shared" si="573"/>
        <v>0</v>
      </c>
      <c r="BB195" s="19">
        <f t="shared" si="581"/>
        <v>29321375</v>
      </c>
      <c r="BC195" s="544">
        <f t="shared" si="582"/>
        <v>38176430.299999997</v>
      </c>
      <c r="BD195" s="544"/>
      <c r="BE195" s="11"/>
      <c r="BF195" s="445"/>
      <c r="BG195" s="11"/>
      <c r="BH195" s="11"/>
      <c r="BI195" s="11"/>
    </row>
    <row r="196" spans="1:61">
      <c r="A196" s="11"/>
      <c r="B196" s="1132" t="s">
        <v>815</v>
      </c>
      <c r="C196" s="17"/>
      <c r="D196" s="17"/>
      <c r="E196" s="11"/>
      <c r="F196" s="11"/>
      <c r="G196" s="555"/>
      <c r="H196" s="545"/>
      <c r="I196" s="11"/>
      <c r="J196" s="11"/>
      <c r="K196" s="11"/>
      <c r="L196" s="545"/>
      <c r="M196" s="11"/>
      <c r="N196" s="11"/>
      <c r="O196" s="861"/>
      <c r="P196" s="783"/>
      <c r="Q196" s="17"/>
      <c r="R196" s="555"/>
      <c r="S196" s="555"/>
      <c r="T196" s="554"/>
      <c r="U196" s="554"/>
      <c r="V196" s="433"/>
      <c r="W196" s="11"/>
      <c r="X196" s="11"/>
      <c r="Y196" s="556"/>
      <c r="Z196" s="11"/>
      <c r="AA196" s="11"/>
      <c r="AB196" s="11"/>
      <c r="AC196" s="554"/>
      <c r="AD196" s="433"/>
      <c r="AE196" s="11"/>
      <c r="AF196" s="11"/>
      <c r="AG196" s="544"/>
      <c r="AH196" s="11"/>
      <c r="AI196" s="1084"/>
      <c r="AJ196" s="850"/>
      <c r="AK196" s="850"/>
      <c r="AL196" s="557"/>
      <c r="AM196" s="557"/>
      <c r="AN196" s="1233"/>
      <c r="AO196" s="17"/>
      <c r="AP196" s="17"/>
      <c r="AQ196" s="554"/>
      <c r="AR196" s="545"/>
      <c r="AS196" s="11"/>
      <c r="AT196" s="11"/>
      <c r="AU196" s="11"/>
      <c r="AV196" s="545"/>
      <c r="AW196" s="11"/>
      <c r="AX196" s="11"/>
      <c r="AY196" s="11"/>
      <c r="AZ196" s="18"/>
      <c r="BA196" s="18"/>
      <c r="BB196" s="19"/>
      <c r="BC196" s="544"/>
      <c r="BD196" s="544"/>
      <c r="BE196" s="1045"/>
      <c r="BF196" s="445"/>
      <c r="BG196" s="1045"/>
      <c r="BH196" s="11"/>
      <c r="BI196" s="11"/>
    </row>
    <row r="197" spans="1:61" ht="19.149999999999999" customHeight="1">
      <c r="A197" s="545">
        <v>21</v>
      </c>
      <c r="B197" s="426" t="s">
        <v>514</v>
      </c>
      <c r="C197" s="545">
        <f>C198+C199+C200+C201+C202+C203+C204</f>
        <v>335</v>
      </c>
      <c r="D197" s="545">
        <f>D198+D199+D200+D201+D202+D203+D204</f>
        <v>18</v>
      </c>
      <c r="E197" s="545">
        <f>SUM(E198:E204)</f>
        <v>72045</v>
      </c>
      <c r="F197" s="545">
        <f t="shared" ref="F197:AG197" si="583">F198+F199+F200+F201+F202+F203+F204</f>
        <v>1304.8</v>
      </c>
      <c r="G197" s="558">
        <v>17921.64</v>
      </c>
      <c r="H197" s="545">
        <f t="shared" si="583"/>
        <v>72045</v>
      </c>
      <c r="I197" s="545">
        <f t="shared" si="583"/>
        <v>68139.900000000009</v>
      </c>
      <c r="J197" s="545">
        <f t="shared" si="583"/>
        <v>0</v>
      </c>
      <c r="K197" s="545">
        <f t="shared" si="583"/>
        <v>3905.1</v>
      </c>
      <c r="L197" s="545">
        <f t="shared" si="583"/>
        <v>1304.8</v>
      </c>
      <c r="M197" s="545">
        <f t="shared" si="583"/>
        <v>1304.8</v>
      </c>
      <c r="N197" s="545">
        <f t="shared" si="583"/>
        <v>0</v>
      </c>
      <c r="O197" s="559">
        <f t="shared" si="583"/>
        <v>-8</v>
      </c>
      <c r="P197" s="560">
        <f t="shared" si="583"/>
        <v>327</v>
      </c>
      <c r="Q197" s="545">
        <f t="shared" si="583"/>
        <v>25</v>
      </c>
      <c r="R197" s="558">
        <v>18950.73</v>
      </c>
      <c r="S197" s="558"/>
      <c r="T197" s="561">
        <f>SUM(T198:T204)</f>
        <v>74318850.719999999</v>
      </c>
      <c r="U197" s="545">
        <f>U198+U199+U200+U201+U202+U203+U204</f>
        <v>71723018.280000001</v>
      </c>
      <c r="V197" s="545">
        <f t="shared" ref="V197:AB197" si="584">V198+V199+V200+V201+V202+V203+V204</f>
        <v>67860218.280000001</v>
      </c>
      <c r="W197" s="545">
        <f t="shared" si="584"/>
        <v>0</v>
      </c>
      <c r="X197" s="545">
        <f t="shared" si="584"/>
        <v>3862800</v>
      </c>
      <c r="Y197" s="545">
        <f t="shared" si="584"/>
        <v>2595832.44</v>
      </c>
      <c r="Z197" s="545">
        <f t="shared" si="584"/>
        <v>2595832.44</v>
      </c>
      <c r="AA197" s="545">
        <f t="shared" si="584"/>
        <v>0</v>
      </c>
      <c r="AB197" s="545">
        <f t="shared" si="584"/>
        <v>0</v>
      </c>
      <c r="AC197" s="545">
        <f t="shared" si="583"/>
        <v>74318850.719999999</v>
      </c>
      <c r="AD197" s="545">
        <f t="shared" si="583"/>
        <v>70456050.719999999</v>
      </c>
      <c r="AE197" s="545">
        <f t="shared" si="583"/>
        <v>0</v>
      </c>
      <c r="AF197" s="545">
        <f t="shared" si="583"/>
        <v>3862800</v>
      </c>
      <c r="AG197" s="545">
        <f t="shared" si="583"/>
        <v>91733778.039999992</v>
      </c>
      <c r="AH197" s="558">
        <f>AI197-AG197</f>
        <v>3110179.6900000125</v>
      </c>
      <c r="AI197" s="1086">
        <v>94843957.730000004</v>
      </c>
      <c r="AJ197" s="765">
        <f>AH197+AG197</f>
        <v>94843957.730000004</v>
      </c>
      <c r="AK197" s="876">
        <f>AJ197-AI197</f>
        <v>0</v>
      </c>
      <c r="AL197" s="563">
        <v>18858.009999999998</v>
      </c>
      <c r="AM197" s="563">
        <f t="shared" ref="AM197:AM203" si="585">S197</f>
        <v>0</v>
      </c>
      <c r="AN197" s="545">
        <f>AN198+AN199+AN200+AN201+AN202+AN203+AN204</f>
        <v>3</v>
      </c>
      <c r="AO197" s="545">
        <f>AO198+AO199+AO200+AO201+AO202+AO203+AO204</f>
        <v>330</v>
      </c>
      <c r="AP197" s="545">
        <f t="shared" ref="AP197:BB197" si="586">AP198+AP199+AP200+AP201+AP202+AP203+AP204</f>
        <v>25</v>
      </c>
      <c r="AQ197" s="561">
        <f>SUM(AQ198:AQ204)</f>
        <v>74710090.840000004</v>
      </c>
      <c r="AR197" s="545">
        <f>ROUND((AL197*AO197*12),1)</f>
        <v>74677719.599999994</v>
      </c>
      <c r="AS197" s="785">
        <f t="shared" si="586"/>
        <v>68203290.400000006</v>
      </c>
      <c r="AT197" s="545">
        <f t="shared" si="586"/>
        <v>0</v>
      </c>
      <c r="AU197" s="545">
        <f t="shared" si="586"/>
        <v>3862800</v>
      </c>
      <c r="AV197" s="545">
        <f t="shared" ref="AV197:AV249" si="587">ROUND(AM197*AP197*12,2)</f>
        <v>0</v>
      </c>
      <c r="AW197" s="545">
        <f>AW198+AW199+AW200+AW201+AW202+AW203+AW204</f>
        <v>2644000.44</v>
      </c>
      <c r="AX197" s="545">
        <f t="shared" si="586"/>
        <v>0</v>
      </c>
      <c r="AY197" s="545">
        <f t="shared" si="586"/>
        <v>0</v>
      </c>
      <c r="AZ197" s="545">
        <f t="shared" si="586"/>
        <v>0</v>
      </c>
      <c r="BA197" s="545">
        <f t="shared" si="586"/>
        <v>3862800</v>
      </c>
      <c r="BB197" s="545">
        <f t="shared" si="586"/>
        <v>70847290.840000004</v>
      </c>
      <c r="BC197" s="545">
        <f>BC198+BC199+BC200+BC201+BC202+BC203+BC204</f>
        <v>92243172.700000018</v>
      </c>
      <c r="BD197" s="558">
        <v>3558906</v>
      </c>
      <c r="BE197" s="564">
        <f>BD197+BC197</f>
        <v>95802078.700000018</v>
      </c>
      <c r="BF197" s="562">
        <v>94843957.730000004</v>
      </c>
      <c r="BG197" s="565">
        <f>BE197-BF197</f>
        <v>958120.97000001371</v>
      </c>
      <c r="BH197" s="876">
        <f>AG197+AH197</f>
        <v>94843957.730000004</v>
      </c>
      <c r="BI197" s="876">
        <f>BH197-AI197</f>
        <v>0</v>
      </c>
    </row>
    <row r="198" spans="1:61">
      <c r="A198" s="11">
        <v>1</v>
      </c>
      <c r="B198" s="13" t="s">
        <v>71</v>
      </c>
      <c r="C198" s="17">
        <v>5</v>
      </c>
      <c r="D198" s="17"/>
      <c r="E198" s="11">
        <v>3174.6</v>
      </c>
      <c r="F198" s="11"/>
      <c r="G198" s="555">
        <v>52910</v>
      </c>
      <c r="H198" s="545">
        <f>I198+J198+K198</f>
        <v>3174.6</v>
      </c>
      <c r="I198" s="11">
        <f t="shared" ref="I198:I204" si="588">E198-K198-J198</f>
        <v>3066</v>
      </c>
      <c r="J198" s="11">
        <v>0</v>
      </c>
      <c r="K198" s="11">
        <v>108.6</v>
      </c>
      <c r="L198" s="545">
        <f t="shared" ref="L198:L204" si="589">M198+N198</f>
        <v>0</v>
      </c>
      <c r="M198" s="11">
        <f>F198-N198</f>
        <v>0</v>
      </c>
      <c r="N198" s="11"/>
      <c r="O198" s="861">
        <f>P198-C198</f>
        <v>0</v>
      </c>
      <c r="P198" s="444">
        <v>5</v>
      </c>
      <c r="Q198" s="17"/>
      <c r="R198" s="765">
        <f>53640-730</f>
        <v>52910</v>
      </c>
      <c r="S198" s="555"/>
      <c r="T198" s="554">
        <f>U198+Y198</f>
        <v>3174600</v>
      </c>
      <c r="U198" s="556">
        <f>ROUND(R198*P198*12,2)</f>
        <v>3174600</v>
      </c>
      <c r="V198" s="433">
        <f>U198-W198-X198</f>
        <v>3044600</v>
      </c>
      <c r="W198" s="11"/>
      <c r="X198" s="11">
        <v>130000</v>
      </c>
      <c r="Y198" s="556">
        <f t="shared" ref="Y198:Y204" si="590">ROUND(S198*Q198*12,2)</f>
        <v>0</v>
      </c>
      <c r="Z198" s="11">
        <f t="shared" ref="Z198:Z204" si="591">Y198-AA198-AB198</f>
        <v>0</v>
      </c>
      <c r="AA198" s="11"/>
      <c r="AB198" s="11"/>
      <c r="AC198" s="554">
        <f t="shared" ref="AC198:AC204" si="592">AD198+AE198+AF198</f>
        <v>3174600</v>
      </c>
      <c r="AD198" s="433">
        <f t="shared" ref="AD198:AD204" si="593">ROUND((Z198+V198),2)</f>
        <v>3044600</v>
      </c>
      <c r="AE198" s="11">
        <f t="shared" ref="AE198:AF204" si="594">AA198+W198</f>
        <v>0</v>
      </c>
      <c r="AF198" s="11">
        <f t="shared" si="594"/>
        <v>130000</v>
      </c>
      <c r="AG198" s="544">
        <f t="shared" ref="AG198:AG204" si="595">ROUND(AD198*1.302,2)</f>
        <v>3964069.2</v>
      </c>
      <c r="AH198" s="1182">
        <v>3500</v>
      </c>
      <c r="AI198" s="1084"/>
      <c r="AJ198" s="850"/>
      <c r="AK198" s="850"/>
      <c r="AL198" s="557">
        <v>53640</v>
      </c>
      <c r="AM198" s="557">
        <f t="shared" si="585"/>
        <v>0</v>
      </c>
      <c r="AN198" s="1233"/>
      <c r="AO198" s="17">
        <v>5</v>
      </c>
      <c r="AP198" s="17"/>
      <c r="AQ198" s="554">
        <f>AR198+AV198</f>
        <v>3218400</v>
      </c>
      <c r="AR198" s="545">
        <f t="shared" ref="AR198:AR224" si="596">ROUND((AL198*AO198*12),1)</f>
        <v>3218400</v>
      </c>
      <c r="AS198" s="11">
        <f t="shared" ref="AS198:AS204" si="597">AR198-AT198-AU198</f>
        <v>3088400</v>
      </c>
      <c r="AT198" s="11">
        <f>W198</f>
        <v>0</v>
      </c>
      <c r="AU198" s="11">
        <f t="shared" ref="AU198:AU204" si="598">X198</f>
        <v>130000</v>
      </c>
      <c r="AV198" s="545">
        <f t="shared" si="587"/>
        <v>0</v>
      </c>
      <c r="AW198" s="11">
        <f t="shared" ref="AW198:AW204" si="599">AV198-AX198-AY198</f>
        <v>0</v>
      </c>
      <c r="AX198" s="11">
        <f t="shared" ref="AX198:AY204" si="600">AA198</f>
        <v>0</v>
      </c>
      <c r="AY198" s="11">
        <f t="shared" si="600"/>
        <v>0</v>
      </c>
      <c r="AZ198" s="18">
        <f>AX198+AT198</f>
        <v>0</v>
      </c>
      <c r="BA198" s="18">
        <f t="shared" ref="BA198:BA204" si="601">AY198+AU198</f>
        <v>130000</v>
      </c>
      <c r="BB198" s="19">
        <f>AW198+AS198</f>
        <v>3088400</v>
      </c>
      <c r="BC198" s="544">
        <f>ROUND(BB198*1.302,1)</f>
        <v>4021096.8</v>
      </c>
      <c r="BD198" s="544"/>
      <c r="BE198" s="11"/>
      <c r="BF198" s="445"/>
      <c r="BG198" s="11"/>
      <c r="BH198" s="11"/>
      <c r="BI198" s="11"/>
    </row>
    <row r="199" spans="1:61">
      <c r="A199" s="11">
        <v>2</v>
      </c>
      <c r="B199" s="13" t="s">
        <v>72</v>
      </c>
      <c r="C199" s="17">
        <v>20</v>
      </c>
      <c r="D199" s="17">
        <v>0</v>
      </c>
      <c r="E199" s="11">
        <v>8570</v>
      </c>
      <c r="F199" s="11">
        <v>0</v>
      </c>
      <c r="G199" s="555">
        <v>35708.33</v>
      </c>
      <c r="H199" s="545">
        <f t="shared" ref="H199:H204" si="602">I199+J199+K199</f>
        <v>8570</v>
      </c>
      <c r="I199" s="11">
        <f t="shared" si="588"/>
        <v>8303.7000000000007</v>
      </c>
      <c r="J199" s="11">
        <v>0</v>
      </c>
      <c r="K199" s="11">
        <v>266.3</v>
      </c>
      <c r="L199" s="545">
        <f t="shared" si="589"/>
        <v>0</v>
      </c>
      <c r="M199" s="11">
        <f t="shared" ref="M199:M204" si="603">F199-N199</f>
        <v>0</v>
      </c>
      <c r="N199" s="11"/>
      <c r="O199" s="861">
        <f t="shared" ref="O199:O204" si="604">P199-C199</f>
        <v>0</v>
      </c>
      <c r="P199" s="444">
        <v>20</v>
      </c>
      <c r="Q199" s="17"/>
      <c r="R199" s="555">
        <v>37086</v>
      </c>
      <c r="S199" s="555"/>
      <c r="T199" s="554">
        <f t="shared" ref="T199:T204" si="605">U199+Y199</f>
        <v>8900640</v>
      </c>
      <c r="U199" s="556">
        <f t="shared" ref="U199:U204" si="606">ROUND(R199*P199*12,2)</f>
        <v>8900640</v>
      </c>
      <c r="V199" s="433">
        <f t="shared" ref="V199:V204" si="607">U199-W199-X199</f>
        <v>8600640</v>
      </c>
      <c r="W199" s="11"/>
      <c r="X199" s="11">
        <v>300000</v>
      </c>
      <c r="Y199" s="556">
        <f t="shared" si="590"/>
        <v>0</v>
      </c>
      <c r="Z199" s="11">
        <f t="shared" si="591"/>
        <v>0</v>
      </c>
      <c r="AA199" s="11"/>
      <c r="AB199" s="11"/>
      <c r="AC199" s="554">
        <f t="shared" si="592"/>
        <v>8900640</v>
      </c>
      <c r="AD199" s="433">
        <f t="shared" si="593"/>
        <v>8600640</v>
      </c>
      <c r="AE199" s="11">
        <f t="shared" si="594"/>
        <v>0</v>
      </c>
      <c r="AF199" s="11">
        <f t="shared" si="594"/>
        <v>300000</v>
      </c>
      <c r="AG199" s="544">
        <f t="shared" si="595"/>
        <v>11198033.279999999</v>
      </c>
      <c r="AH199" s="11"/>
      <c r="AI199" s="1084"/>
      <c r="AJ199" s="850"/>
      <c r="AK199" s="850"/>
      <c r="AL199" s="557">
        <v>37086</v>
      </c>
      <c r="AM199" s="557">
        <f t="shared" si="585"/>
        <v>0</v>
      </c>
      <c r="AN199" s="1233"/>
      <c r="AO199" s="17">
        <v>20</v>
      </c>
      <c r="AP199" s="17"/>
      <c r="AQ199" s="554">
        <f t="shared" ref="AQ199:AQ204" si="608">AR199+AV199</f>
        <v>8900640</v>
      </c>
      <c r="AR199" s="545">
        <f t="shared" si="596"/>
        <v>8900640</v>
      </c>
      <c r="AS199" s="11">
        <f t="shared" si="597"/>
        <v>8600640</v>
      </c>
      <c r="AT199" s="11">
        <f t="shared" ref="AT199:AT204" si="609">W199</f>
        <v>0</v>
      </c>
      <c r="AU199" s="11">
        <f t="shared" si="598"/>
        <v>300000</v>
      </c>
      <c r="AV199" s="545">
        <f t="shared" si="587"/>
        <v>0</v>
      </c>
      <c r="AW199" s="11">
        <f t="shared" si="599"/>
        <v>0</v>
      </c>
      <c r="AX199" s="11">
        <f t="shared" si="600"/>
        <v>0</v>
      </c>
      <c r="AY199" s="11">
        <f t="shared" si="600"/>
        <v>0</v>
      </c>
      <c r="AZ199" s="18">
        <f t="shared" ref="AZ199:AZ204" si="610">AX199+AT199</f>
        <v>0</v>
      </c>
      <c r="BA199" s="18">
        <f t="shared" si="601"/>
        <v>300000</v>
      </c>
      <c r="BB199" s="19">
        <f t="shared" ref="BB199:BB204" si="611">AW199+AS199</f>
        <v>8600640</v>
      </c>
      <c r="BC199" s="544">
        <f t="shared" ref="BC199:BC204" si="612">ROUND(BB199*1.302,1)</f>
        <v>11198033.300000001</v>
      </c>
      <c r="BD199" s="544"/>
      <c r="BE199" s="11"/>
      <c r="BF199" s="445"/>
      <c r="BG199" s="11"/>
      <c r="BH199" s="11"/>
      <c r="BI199" s="11"/>
    </row>
    <row r="200" spans="1:61">
      <c r="A200" s="11">
        <v>3</v>
      </c>
      <c r="B200" s="14" t="s">
        <v>76</v>
      </c>
      <c r="C200" s="17">
        <v>171</v>
      </c>
      <c r="D200" s="17">
        <v>0</v>
      </c>
      <c r="E200" s="11">
        <v>47827.1</v>
      </c>
      <c r="F200" s="11">
        <v>0</v>
      </c>
      <c r="G200" s="29">
        <v>23307.55</v>
      </c>
      <c r="H200" s="545">
        <f t="shared" si="602"/>
        <v>47827.1</v>
      </c>
      <c r="I200" s="11">
        <f t="shared" si="588"/>
        <v>44336.4</v>
      </c>
      <c r="J200" s="11">
        <v>0</v>
      </c>
      <c r="K200" s="11">
        <v>3490.7</v>
      </c>
      <c r="L200" s="545">
        <f t="shared" si="589"/>
        <v>0</v>
      </c>
      <c r="M200" s="11">
        <f t="shared" si="603"/>
        <v>0</v>
      </c>
      <c r="N200" s="11"/>
      <c r="O200" s="861">
        <f t="shared" si="604"/>
        <v>-8</v>
      </c>
      <c r="P200" s="444">
        <v>163</v>
      </c>
      <c r="Q200" s="17">
        <v>7</v>
      </c>
      <c r="R200" s="29">
        <v>23307.55</v>
      </c>
      <c r="S200" s="555">
        <v>14761.91</v>
      </c>
      <c r="T200" s="554">
        <f t="shared" si="605"/>
        <v>46829568.239999995</v>
      </c>
      <c r="U200" s="556">
        <f t="shared" si="606"/>
        <v>45589567.799999997</v>
      </c>
      <c r="V200" s="433">
        <f t="shared" si="607"/>
        <v>42186767.799999997</v>
      </c>
      <c r="W200" s="11"/>
      <c r="X200" s="11">
        <v>3402800</v>
      </c>
      <c r="Y200" s="556">
        <f t="shared" si="590"/>
        <v>1240000.44</v>
      </c>
      <c r="Z200" s="11">
        <f t="shared" si="591"/>
        <v>1240000.44</v>
      </c>
      <c r="AA200" s="11"/>
      <c r="AB200" s="11"/>
      <c r="AC200" s="554">
        <f t="shared" si="592"/>
        <v>46829568.240000002</v>
      </c>
      <c r="AD200" s="433">
        <f t="shared" si="593"/>
        <v>43426768.240000002</v>
      </c>
      <c r="AE200" s="11">
        <f t="shared" si="594"/>
        <v>0</v>
      </c>
      <c r="AF200" s="11">
        <f t="shared" si="594"/>
        <v>3402800</v>
      </c>
      <c r="AG200" s="544">
        <f t="shared" si="595"/>
        <v>56541652.25</v>
      </c>
      <c r="AH200" s="11"/>
      <c r="AI200" s="1084"/>
      <c r="AJ200" s="850"/>
      <c r="AK200" s="850"/>
      <c r="AL200" s="440">
        <v>23307.55</v>
      </c>
      <c r="AM200" s="557">
        <f t="shared" si="585"/>
        <v>14761.91</v>
      </c>
      <c r="AN200" s="1233"/>
      <c r="AO200" s="17">
        <v>163</v>
      </c>
      <c r="AP200" s="17">
        <v>7</v>
      </c>
      <c r="AQ200" s="554">
        <f>AR200+AV200</f>
        <v>46829568.239999995</v>
      </c>
      <c r="AR200" s="545">
        <f>ROUND((AL200*AO200*12),1)</f>
        <v>45589567.799999997</v>
      </c>
      <c r="AS200" s="11">
        <f t="shared" si="597"/>
        <v>42186767.799999997</v>
      </c>
      <c r="AT200" s="11">
        <f t="shared" si="609"/>
        <v>0</v>
      </c>
      <c r="AU200" s="11">
        <f>X200</f>
        <v>3402800</v>
      </c>
      <c r="AV200" s="545">
        <f t="shared" si="587"/>
        <v>1240000.44</v>
      </c>
      <c r="AW200" s="11">
        <f t="shared" si="599"/>
        <v>1240000.44</v>
      </c>
      <c r="AX200" s="11">
        <f t="shared" si="600"/>
        <v>0</v>
      </c>
      <c r="AY200" s="11">
        <f t="shared" si="600"/>
        <v>0</v>
      </c>
      <c r="AZ200" s="18">
        <f t="shared" si="610"/>
        <v>0</v>
      </c>
      <c r="BA200" s="18">
        <f t="shared" si="601"/>
        <v>3402800</v>
      </c>
      <c r="BB200" s="19">
        <f t="shared" si="611"/>
        <v>43426768.239999995</v>
      </c>
      <c r="BC200" s="544">
        <f t="shared" si="612"/>
        <v>56541652.200000003</v>
      </c>
      <c r="BD200" s="544"/>
      <c r="BE200" s="11"/>
      <c r="BF200" s="445"/>
      <c r="BG200" s="11"/>
      <c r="BH200" s="11"/>
      <c r="BI200" s="11"/>
    </row>
    <row r="201" spans="1:61">
      <c r="A201" s="11">
        <v>4</v>
      </c>
      <c r="B201" s="14" t="s">
        <v>77</v>
      </c>
      <c r="C201" s="17"/>
      <c r="D201" s="17"/>
      <c r="E201" s="11"/>
      <c r="F201" s="11"/>
      <c r="G201" s="555"/>
      <c r="H201" s="545">
        <f t="shared" si="602"/>
        <v>0</v>
      </c>
      <c r="I201" s="11">
        <f t="shared" si="588"/>
        <v>0</v>
      </c>
      <c r="J201" s="11"/>
      <c r="K201" s="11"/>
      <c r="L201" s="545">
        <f t="shared" si="589"/>
        <v>0</v>
      </c>
      <c r="M201" s="11">
        <f t="shared" si="603"/>
        <v>0</v>
      </c>
      <c r="N201" s="11"/>
      <c r="O201" s="861">
        <f t="shared" si="604"/>
        <v>0</v>
      </c>
      <c r="P201" s="444"/>
      <c r="Q201" s="17"/>
      <c r="R201" s="555"/>
      <c r="S201" s="555"/>
      <c r="T201" s="554">
        <f t="shared" si="605"/>
        <v>0</v>
      </c>
      <c r="U201" s="556">
        <f t="shared" si="606"/>
        <v>0</v>
      </c>
      <c r="V201" s="433">
        <f t="shared" si="607"/>
        <v>0</v>
      </c>
      <c r="W201" s="11"/>
      <c r="X201" s="11"/>
      <c r="Y201" s="556">
        <f t="shared" si="590"/>
        <v>0</v>
      </c>
      <c r="Z201" s="11">
        <f t="shared" si="591"/>
        <v>0</v>
      </c>
      <c r="AA201" s="11"/>
      <c r="AB201" s="11"/>
      <c r="AC201" s="554">
        <f t="shared" si="592"/>
        <v>0</v>
      </c>
      <c r="AD201" s="433">
        <f t="shared" si="593"/>
        <v>0</v>
      </c>
      <c r="AE201" s="11">
        <f t="shared" si="594"/>
        <v>0</v>
      </c>
      <c r="AF201" s="11">
        <f t="shared" si="594"/>
        <v>0</v>
      </c>
      <c r="AG201" s="544">
        <f t="shared" si="595"/>
        <v>0</v>
      </c>
      <c r="AH201" s="11"/>
      <c r="AI201" s="1084"/>
      <c r="AJ201" s="850"/>
      <c r="AK201" s="850"/>
      <c r="AL201" s="557"/>
      <c r="AM201" s="557">
        <f t="shared" si="585"/>
        <v>0</v>
      </c>
      <c r="AN201" s="1233"/>
      <c r="AO201" s="17"/>
      <c r="AP201" s="17"/>
      <c r="AQ201" s="554">
        <f t="shared" si="608"/>
        <v>0</v>
      </c>
      <c r="AR201" s="545">
        <f t="shared" si="596"/>
        <v>0</v>
      </c>
      <c r="AS201" s="11">
        <f t="shared" si="597"/>
        <v>0</v>
      </c>
      <c r="AT201" s="11">
        <f t="shared" si="609"/>
        <v>0</v>
      </c>
      <c r="AU201" s="11">
        <f t="shared" si="598"/>
        <v>0</v>
      </c>
      <c r="AV201" s="545">
        <f t="shared" si="587"/>
        <v>0</v>
      </c>
      <c r="AW201" s="11">
        <f t="shared" si="599"/>
        <v>0</v>
      </c>
      <c r="AX201" s="11">
        <f t="shared" si="600"/>
        <v>0</v>
      </c>
      <c r="AY201" s="11">
        <f t="shared" si="600"/>
        <v>0</v>
      </c>
      <c r="AZ201" s="18">
        <f t="shared" si="610"/>
        <v>0</v>
      </c>
      <c r="BA201" s="18">
        <f t="shared" si="601"/>
        <v>0</v>
      </c>
      <c r="BB201" s="19">
        <f t="shared" si="611"/>
        <v>0</v>
      </c>
      <c r="BC201" s="544">
        <f t="shared" si="612"/>
        <v>0</v>
      </c>
      <c r="BD201" s="544"/>
      <c r="BE201" s="11"/>
      <c r="BF201" s="445"/>
      <c r="BG201" s="11"/>
      <c r="BH201" s="11"/>
      <c r="BI201" s="11"/>
    </row>
    <row r="202" spans="1:61">
      <c r="A202" s="11">
        <v>5</v>
      </c>
      <c r="B202" s="13" t="s">
        <v>73</v>
      </c>
      <c r="C202" s="17"/>
      <c r="D202" s="17"/>
      <c r="E202" s="11"/>
      <c r="F202" s="11"/>
      <c r="G202" s="555"/>
      <c r="H202" s="545">
        <f t="shared" si="602"/>
        <v>0</v>
      </c>
      <c r="I202" s="11">
        <f t="shared" si="588"/>
        <v>0</v>
      </c>
      <c r="J202" s="11"/>
      <c r="K202" s="11"/>
      <c r="L202" s="545">
        <f t="shared" si="589"/>
        <v>0</v>
      </c>
      <c r="M202" s="11">
        <f t="shared" si="603"/>
        <v>0</v>
      </c>
      <c r="N202" s="11"/>
      <c r="O202" s="861">
        <f t="shared" si="604"/>
        <v>0</v>
      </c>
      <c r="P202" s="444"/>
      <c r="Q202" s="17"/>
      <c r="R202" s="555"/>
      <c r="S202" s="555"/>
      <c r="T202" s="554">
        <f t="shared" si="605"/>
        <v>0</v>
      </c>
      <c r="U202" s="556">
        <f t="shared" si="606"/>
        <v>0</v>
      </c>
      <c r="V202" s="433">
        <f t="shared" si="607"/>
        <v>0</v>
      </c>
      <c r="W202" s="11"/>
      <c r="X202" s="11"/>
      <c r="Y202" s="556">
        <f t="shared" si="590"/>
        <v>0</v>
      </c>
      <c r="Z202" s="11">
        <f t="shared" si="591"/>
        <v>0</v>
      </c>
      <c r="AA202" s="11"/>
      <c r="AB202" s="11"/>
      <c r="AC202" s="554">
        <f t="shared" si="592"/>
        <v>0</v>
      </c>
      <c r="AD202" s="433">
        <f t="shared" si="593"/>
        <v>0</v>
      </c>
      <c r="AE202" s="11">
        <f t="shared" si="594"/>
        <v>0</v>
      </c>
      <c r="AF202" s="11">
        <f t="shared" si="594"/>
        <v>0</v>
      </c>
      <c r="AG202" s="544">
        <f t="shared" si="595"/>
        <v>0</v>
      </c>
      <c r="AH202" s="11"/>
      <c r="AI202" s="1084"/>
      <c r="AJ202" s="850"/>
      <c r="AK202" s="850"/>
      <c r="AL202" s="557"/>
      <c r="AM202" s="557">
        <f t="shared" si="585"/>
        <v>0</v>
      </c>
      <c r="AN202" s="1233"/>
      <c r="AO202" s="17"/>
      <c r="AP202" s="17"/>
      <c r="AQ202" s="554">
        <f t="shared" si="608"/>
        <v>0</v>
      </c>
      <c r="AR202" s="545">
        <f t="shared" si="596"/>
        <v>0</v>
      </c>
      <c r="AS202" s="11">
        <f t="shared" si="597"/>
        <v>0</v>
      </c>
      <c r="AT202" s="11">
        <f t="shared" si="609"/>
        <v>0</v>
      </c>
      <c r="AU202" s="11">
        <f t="shared" si="598"/>
        <v>0</v>
      </c>
      <c r="AV202" s="545">
        <f t="shared" si="587"/>
        <v>0</v>
      </c>
      <c r="AW202" s="11">
        <f t="shared" si="599"/>
        <v>0</v>
      </c>
      <c r="AX202" s="11">
        <f t="shared" si="600"/>
        <v>0</v>
      </c>
      <c r="AY202" s="11">
        <f t="shared" si="600"/>
        <v>0</v>
      </c>
      <c r="AZ202" s="18">
        <f t="shared" si="610"/>
        <v>0</v>
      </c>
      <c r="BA202" s="18">
        <f t="shared" si="601"/>
        <v>0</v>
      </c>
      <c r="BB202" s="19">
        <f t="shared" si="611"/>
        <v>0</v>
      </c>
      <c r="BC202" s="544">
        <f t="shared" si="612"/>
        <v>0</v>
      </c>
      <c r="BD202" s="544"/>
      <c r="BE202" s="11"/>
      <c r="BF202" s="445"/>
      <c r="BG202" s="11"/>
      <c r="BH202" s="11"/>
      <c r="BI202" s="11"/>
    </row>
    <row r="203" spans="1:61">
      <c r="A203" s="11">
        <v>6</v>
      </c>
      <c r="B203" s="13" t="s">
        <v>74</v>
      </c>
      <c r="C203" s="17">
        <v>2</v>
      </c>
      <c r="D203" s="17"/>
      <c r="E203" s="11">
        <v>392</v>
      </c>
      <c r="F203" s="11"/>
      <c r="G203" s="555">
        <v>16333.34</v>
      </c>
      <c r="H203" s="545">
        <f t="shared" si="602"/>
        <v>392</v>
      </c>
      <c r="I203" s="11">
        <f t="shared" si="588"/>
        <v>352.5</v>
      </c>
      <c r="J203" s="11"/>
      <c r="K203" s="11">
        <v>39.5</v>
      </c>
      <c r="L203" s="545">
        <f t="shared" si="589"/>
        <v>0</v>
      </c>
      <c r="M203" s="11">
        <f t="shared" si="603"/>
        <v>0</v>
      </c>
      <c r="N203" s="11"/>
      <c r="O203" s="861">
        <f t="shared" si="604"/>
        <v>0</v>
      </c>
      <c r="P203" s="444">
        <v>2</v>
      </c>
      <c r="Q203" s="17"/>
      <c r="R203" s="555">
        <v>16333.34</v>
      </c>
      <c r="S203" s="555"/>
      <c r="T203" s="554">
        <f t="shared" si="605"/>
        <v>392000.16</v>
      </c>
      <c r="U203" s="556">
        <f t="shared" si="606"/>
        <v>392000.16</v>
      </c>
      <c r="V203" s="433">
        <f>U203-W203-X203</f>
        <v>362000.16</v>
      </c>
      <c r="W203" s="11"/>
      <c r="X203" s="11">
        <v>30000</v>
      </c>
      <c r="Y203" s="556">
        <f t="shared" si="590"/>
        <v>0</v>
      </c>
      <c r="Z203" s="11">
        <f t="shared" si="591"/>
        <v>0</v>
      </c>
      <c r="AA203" s="11"/>
      <c r="AB203" s="11"/>
      <c r="AC203" s="554">
        <f t="shared" si="592"/>
        <v>392000.16</v>
      </c>
      <c r="AD203" s="433">
        <f t="shared" si="593"/>
        <v>362000.16</v>
      </c>
      <c r="AE203" s="11">
        <f t="shared" si="594"/>
        <v>0</v>
      </c>
      <c r="AF203" s="11">
        <f t="shared" si="594"/>
        <v>30000</v>
      </c>
      <c r="AG203" s="544">
        <f t="shared" si="595"/>
        <v>471324.21</v>
      </c>
      <c r="AH203" s="11"/>
      <c r="AI203" s="1084"/>
      <c r="AJ203" s="850"/>
      <c r="AK203" s="850"/>
      <c r="AL203" s="557">
        <v>16333.84</v>
      </c>
      <c r="AM203" s="557">
        <f t="shared" si="585"/>
        <v>0</v>
      </c>
      <c r="AN203" s="1233"/>
      <c r="AO203" s="17">
        <v>2</v>
      </c>
      <c r="AP203" s="17"/>
      <c r="AQ203" s="554">
        <f t="shared" si="608"/>
        <v>392012.2</v>
      </c>
      <c r="AR203" s="545">
        <f t="shared" si="596"/>
        <v>392012.2</v>
      </c>
      <c r="AS203" s="11">
        <f t="shared" si="597"/>
        <v>362012.2</v>
      </c>
      <c r="AT203" s="11">
        <f t="shared" si="609"/>
        <v>0</v>
      </c>
      <c r="AU203" s="11">
        <f t="shared" si="598"/>
        <v>30000</v>
      </c>
      <c r="AV203" s="545">
        <f t="shared" si="587"/>
        <v>0</v>
      </c>
      <c r="AW203" s="11">
        <f t="shared" si="599"/>
        <v>0</v>
      </c>
      <c r="AX203" s="11">
        <f t="shared" si="600"/>
        <v>0</v>
      </c>
      <c r="AY203" s="11">
        <f t="shared" si="600"/>
        <v>0</v>
      </c>
      <c r="AZ203" s="18">
        <f t="shared" si="610"/>
        <v>0</v>
      </c>
      <c r="BA203" s="18">
        <f t="shared" si="601"/>
        <v>30000</v>
      </c>
      <c r="BB203" s="19">
        <f t="shared" si="611"/>
        <v>362012.2</v>
      </c>
      <c r="BC203" s="544">
        <f t="shared" si="612"/>
        <v>471339.9</v>
      </c>
      <c r="BD203" s="544"/>
      <c r="BE203" s="11"/>
      <c r="BF203" s="445"/>
      <c r="BG203" s="11"/>
      <c r="BH203" s="11"/>
      <c r="BI203" s="11"/>
    </row>
    <row r="204" spans="1:61">
      <c r="A204" s="11">
        <v>7</v>
      </c>
      <c r="B204" s="1131" t="s">
        <v>814</v>
      </c>
      <c r="C204" s="17">
        <v>137</v>
      </c>
      <c r="D204" s="17">
        <v>18</v>
      </c>
      <c r="E204" s="11">
        <v>12081.3</v>
      </c>
      <c r="F204" s="11">
        <v>1304.8</v>
      </c>
      <c r="G204" s="555">
        <v>7348.72</v>
      </c>
      <c r="H204" s="545">
        <f t="shared" si="602"/>
        <v>12081.3</v>
      </c>
      <c r="I204" s="11">
        <f t="shared" si="588"/>
        <v>12081.3</v>
      </c>
      <c r="J204" s="11">
        <v>0</v>
      </c>
      <c r="K204" s="11">
        <v>0</v>
      </c>
      <c r="L204" s="545">
        <f t="shared" si="589"/>
        <v>1304.8</v>
      </c>
      <c r="M204" s="11">
        <f t="shared" si="603"/>
        <v>1304.8</v>
      </c>
      <c r="N204" s="11"/>
      <c r="O204" s="861">
        <f t="shared" si="604"/>
        <v>0</v>
      </c>
      <c r="P204" s="444">
        <v>137</v>
      </c>
      <c r="Q204" s="17">
        <v>18</v>
      </c>
      <c r="R204" s="555">
        <v>8312.7800000000007</v>
      </c>
      <c r="S204" s="555">
        <v>6277</v>
      </c>
      <c r="T204" s="554">
        <f t="shared" si="605"/>
        <v>15022042.32</v>
      </c>
      <c r="U204" s="556">
        <f t="shared" si="606"/>
        <v>13666210.32</v>
      </c>
      <c r="V204" s="433">
        <f t="shared" si="607"/>
        <v>13666210.32</v>
      </c>
      <c r="W204" s="11"/>
      <c r="X204" s="11"/>
      <c r="Y204" s="556">
        <f t="shared" si="590"/>
        <v>1355832</v>
      </c>
      <c r="Z204" s="11">
        <f t="shared" si="591"/>
        <v>1355832</v>
      </c>
      <c r="AA204" s="11"/>
      <c r="AB204" s="11"/>
      <c r="AC204" s="554">
        <f t="shared" si="592"/>
        <v>15022042.32</v>
      </c>
      <c r="AD204" s="433">
        <f t="shared" si="593"/>
        <v>15022042.32</v>
      </c>
      <c r="AE204" s="11">
        <f t="shared" si="594"/>
        <v>0</v>
      </c>
      <c r="AF204" s="11">
        <f t="shared" si="594"/>
        <v>0</v>
      </c>
      <c r="AG204" s="544">
        <f t="shared" si="595"/>
        <v>19558699.100000001</v>
      </c>
      <c r="AH204" s="11"/>
      <c r="AI204" s="1084"/>
      <c r="AJ204" s="850"/>
      <c r="AK204" s="850"/>
      <c r="AL204" s="557">
        <v>8312.7800000000007</v>
      </c>
      <c r="AM204" s="557">
        <v>6500</v>
      </c>
      <c r="AN204" s="1233">
        <f>AO204-P204</f>
        <v>3</v>
      </c>
      <c r="AO204" s="17">
        <v>140</v>
      </c>
      <c r="AP204" s="17">
        <v>18</v>
      </c>
      <c r="AQ204" s="554">
        <f t="shared" si="608"/>
        <v>15369470.4</v>
      </c>
      <c r="AR204" s="545">
        <f t="shared" si="596"/>
        <v>13965470.4</v>
      </c>
      <c r="AS204" s="11">
        <f t="shared" si="597"/>
        <v>13965470.4</v>
      </c>
      <c r="AT204" s="11">
        <f t="shared" si="609"/>
        <v>0</v>
      </c>
      <c r="AU204" s="11">
        <f t="shared" si="598"/>
        <v>0</v>
      </c>
      <c r="AV204" s="545">
        <f t="shared" si="587"/>
        <v>1404000</v>
      </c>
      <c r="AW204" s="11">
        <f t="shared" si="599"/>
        <v>1404000</v>
      </c>
      <c r="AX204" s="11">
        <f t="shared" si="600"/>
        <v>0</v>
      </c>
      <c r="AY204" s="11">
        <f t="shared" si="600"/>
        <v>0</v>
      </c>
      <c r="AZ204" s="18">
        <f t="shared" si="610"/>
        <v>0</v>
      </c>
      <c r="BA204" s="18">
        <f t="shared" si="601"/>
        <v>0</v>
      </c>
      <c r="BB204" s="19">
        <f t="shared" si="611"/>
        <v>15369470.4</v>
      </c>
      <c r="BC204" s="544">
        <f t="shared" si="612"/>
        <v>20011050.5</v>
      </c>
      <c r="BD204" s="544"/>
      <c r="BE204" s="11"/>
      <c r="BF204" s="445"/>
      <c r="BG204" s="11"/>
      <c r="BH204" s="11"/>
      <c r="BI204" s="11"/>
    </row>
    <row r="205" spans="1:61">
      <c r="A205" s="11"/>
      <c r="B205" s="1132" t="s">
        <v>815</v>
      </c>
      <c r="C205" s="17"/>
      <c r="D205" s="17"/>
      <c r="E205" s="11"/>
      <c r="F205" s="11"/>
      <c r="G205" s="555"/>
      <c r="H205" s="545"/>
      <c r="I205" s="11"/>
      <c r="J205" s="11"/>
      <c r="K205" s="11"/>
      <c r="L205" s="545"/>
      <c r="M205" s="11"/>
      <c r="N205" s="11"/>
      <c r="O205" s="861"/>
      <c r="P205" s="444"/>
      <c r="Q205" s="17"/>
      <c r="R205" s="555"/>
      <c r="S205" s="555"/>
      <c r="T205" s="554"/>
      <c r="U205" s="556"/>
      <c r="V205" s="433"/>
      <c r="W205" s="11"/>
      <c r="X205" s="11"/>
      <c r="Y205" s="556"/>
      <c r="Z205" s="11"/>
      <c r="AA205" s="11"/>
      <c r="AB205" s="11"/>
      <c r="AC205" s="554"/>
      <c r="AD205" s="433"/>
      <c r="AE205" s="11"/>
      <c r="AF205" s="11"/>
      <c r="AG205" s="544"/>
      <c r="AH205" s="11"/>
      <c r="AI205" s="1084"/>
      <c r="AJ205" s="850"/>
      <c r="AK205" s="850"/>
      <c r="AL205" s="557"/>
      <c r="AM205" s="557"/>
      <c r="AN205" s="1233"/>
      <c r="AO205" s="17"/>
      <c r="AP205" s="17"/>
      <c r="AQ205" s="554"/>
      <c r="AR205" s="545"/>
      <c r="AS205" s="11"/>
      <c r="AT205" s="11"/>
      <c r="AU205" s="11"/>
      <c r="AV205" s="545"/>
      <c r="AW205" s="11"/>
      <c r="AX205" s="11"/>
      <c r="AY205" s="11"/>
      <c r="AZ205" s="18"/>
      <c r="BA205" s="18"/>
      <c r="BB205" s="19"/>
      <c r="BC205" s="544"/>
      <c r="BD205" s="544"/>
      <c r="BE205" s="1045"/>
      <c r="BF205" s="445"/>
      <c r="BG205" s="1045"/>
      <c r="BH205" s="11"/>
      <c r="BI205" s="11"/>
    </row>
    <row r="206" spans="1:61" ht="19.149999999999999" customHeight="1">
      <c r="A206" s="545">
        <v>22</v>
      </c>
      <c r="B206" s="426" t="s">
        <v>267</v>
      </c>
      <c r="C206" s="545">
        <f>C207+C208+C209+C210+C211+C212+C213</f>
        <v>216.8</v>
      </c>
      <c r="D206" s="545">
        <f>D207+D208+D209+D210+D211+D212+D213</f>
        <v>10.8</v>
      </c>
      <c r="E206" s="545">
        <f>SUM(E207:E213)</f>
        <v>49548</v>
      </c>
      <c r="F206" s="545">
        <f t="shared" ref="F206:AG206" si="613">F207+F208+F209+F210+F211+F212+F213</f>
        <v>1162.9000000000001</v>
      </c>
      <c r="G206" s="558">
        <v>19045.2</v>
      </c>
      <c r="H206" s="545">
        <f t="shared" si="613"/>
        <v>49548</v>
      </c>
      <c r="I206" s="545">
        <f t="shared" si="613"/>
        <v>46817.200000000004</v>
      </c>
      <c r="J206" s="545">
        <f t="shared" si="613"/>
        <v>0</v>
      </c>
      <c r="K206" s="545">
        <f t="shared" si="613"/>
        <v>2730.7999999999997</v>
      </c>
      <c r="L206" s="545">
        <f t="shared" si="613"/>
        <v>1162.9000000000001</v>
      </c>
      <c r="M206" s="545">
        <f t="shared" si="613"/>
        <v>1162.9000000000001</v>
      </c>
      <c r="N206" s="545">
        <f t="shared" si="613"/>
        <v>0</v>
      </c>
      <c r="O206" s="559">
        <f t="shared" si="613"/>
        <v>2.9999999999999911</v>
      </c>
      <c r="P206" s="560">
        <f t="shared" si="613"/>
        <v>219.8</v>
      </c>
      <c r="Q206" s="545">
        <f t="shared" si="613"/>
        <v>14.600000000000001</v>
      </c>
      <c r="R206" s="558">
        <v>19045.2</v>
      </c>
      <c r="S206" s="558"/>
      <c r="T206" s="561">
        <f>SUM(T207:T213)</f>
        <v>51930802.950000003</v>
      </c>
      <c r="U206" s="545">
        <f t="shared" ref="U206:AB206" si="614">U207+U208+U209+U210+U211+U212+U213</f>
        <v>50237312.099999994</v>
      </c>
      <c r="V206" s="545">
        <f t="shared" si="614"/>
        <v>46897312.099999994</v>
      </c>
      <c r="W206" s="545">
        <f t="shared" si="614"/>
        <v>0</v>
      </c>
      <c r="X206" s="545">
        <f t="shared" si="614"/>
        <v>3340000</v>
      </c>
      <c r="Y206" s="545">
        <f t="shared" si="614"/>
        <v>1693490.8499999999</v>
      </c>
      <c r="Z206" s="545">
        <f t="shared" si="614"/>
        <v>1693490.8499999999</v>
      </c>
      <c r="AA206" s="545">
        <f t="shared" si="614"/>
        <v>0</v>
      </c>
      <c r="AB206" s="545">
        <f t="shared" si="614"/>
        <v>0</v>
      </c>
      <c r="AC206" s="545">
        <f t="shared" si="613"/>
        <v>51930802.949999996</v>
      </c>
      <c r="AD206" s="545">
        <f t="shared" si="613"/>
        <v>48590802.949999996</v>
      </c>
      <c r="AE206" s="545">
        <f t="shared" si="613"/>
        <v>0</v>
      </c>
      <c r="AF206" s="545">
        <f t="shared" si="613"/>
        <v>3340000</v>
      </c>
      <c r="AG206" s="545">
        <f t="shared" si="613"/>
        <v>63265225.440000005</v>
      </c>
      <c r="AH206" s="558">
        <f>4488430.92-2279430.92</f>
        <v>2209000</v>
      </c>
      <c r="AI206" s="1086">
        <v>66651180.68</v>
      </c>
      <c r="AJ206" s="765">
        <f>AH206+AG206</f>
        <v>65474225.440000005</v>
      </c>
      <c r="AK206" s="876">
        <f>AJ206-AI206</f>
        <v>-1176955.2399999946</v>
      </c>
      <c r="AL206" s="563">
        <v>19045.2</v>
      </c>
      <c r="AM206" s="563">
        <f t="shared" ref="AM206:AM213" si="615">S206</f>
        <v>0</v>
      </c>
      <c r="AN206" s="545">
        <f>AN207+AN208+AN209+AN210+AN211+AN212+AN213</f>
        <v>-0.29999999999999361</v>
      </c>
      <c r="AO206" s="545">
        <f>AO207+AO208+AO209+AO210+AO211+AO212+AO213</f>
        <v>219.5</v>
      </c>
      <c r="AP206" s="545">
        <f t="shared" ref="AP206:BC206" si="616">AP207+AP208+AP209+AP210+AP211+AP212+AP213</f>
        <v>14.2</v>
      </c>
      <c r="AQ206" s="561">
        <f>SUM(AQ207:AQ213)</f>
        <v>51980721.510000005</v>
      </c>
      <c r="AR206" s="545">
        <f t="shared" si="596"/>
        <v>50165056.799999997</v>
      </c>
      <c r="AS206" s="545">
        <f t="shared" si="616"/>
        <v>47049426.299999997</v>
      </c>
      <c r="AT206" s="545">
        <f t="shared" si="616"/>
        <v>0</v>
      </c>
      <c r="AU206" s="545">
        <f t="shared" si="616"/>
        <v>3270100</v>
      </c>
      <c r="AV206" s="545">
        <f t="shared" si="587"/>
        <v>0</v>
      </c>
      <c r="AW206" s="545">
        <f>AW207+AW208+AW209+AW210+AW211+AW212+AW213</f>
        <v>1661195.21</v>
      </c>
      <c r="AX206" s="545">
        <f t="shared" si="616"/>
        <v>0</v>
      </c>
      <c r="AY206" s="545">
        <f t="shared" si="616"/>
        <v>0</v>
      </c>
      <c r="AZ206" s="545">
        <f t="shared" si="616"/>
        <v>0</v>
      </c>
      <c r="BA206" s="545">
        <f t="shared" si="616"/>
        <v>3270100</v>
      </c>
      <c r="BB206" s="545">
        <f t="shared" si="616"/>
        <v>48710621.510000005</v>
      </c>
      <c r="BC206" s="545">
        <f t="shared" si="616"/>
        <v>63421229.099999994</v>
      </c>
      <c r="BD206" s="558">
        <v>2290680</v>
      </c>
      <c r="BE206" s="564">
        <f>BD206+BC206</f>
        <v>65711909.099999994</v>
      </c>
      <c r="BF206" s="562">
        <v>66651180.68</v>
      </c>
      <c r="BG206" s="565">
        <f>BE206-BF206</f>
        <v>-939271.58000000566</v>
      </c>
      <c r="BH206" s="876">
        <f>AG206+AH206</f>
        <v>65474225.440000005</v>
      </c>
      <c r="BI206" s="876">
        <f>BH206-AI206</f>
        <v>-1176955.2399999946</v>
      </c>
    </row>
    <row r="207" spans="1:61">
      <c r="A207" s="11">
        <v>1</v>
      </c>
      <c r="B207" s="13" t="s">
        <v>71</v>
      </c>
      <c r="C207" s="17">
        <v>5</v>
      </c>
      <c r="D207" s="17"/>
      <c r="E207" s="11">
        <v>2942.1</v>
      </c>
      <c r="F207" s="11"/>
      <c r="G207" s="555">
        <v>49035</v>
      </c>
      <c r="H207" s="545">
        <f>I207+J207+K207</f>
        <v>2942.1</v>
      </c>
      <c r="I207" s="11">
        <f t="shared" ref="I207:I213" si="617">E207-K207-J207</f>
        <v>2841</v>
      </c>
      <c r="J207" s="11">
        <v>0</v>
      </c>
      <c r="K207" s="11">
        <v>101.1</v>
      </c>
      <c r="L207" s="545">
        <f t="shared" ref="L207:L213" si="618">M207+N207</f>
        <v>0</v>
      </c>
      <c r="M207" s="11">
        <f>F207-N207</f>
        <v>0</v>
      </c>
      <c r="N207" s="11"/>
      <c r="O207" s="861">
        <f>P207-C207</f>
        <v>0</v>
      </c>
      <c r="P207" s="444">
        <v>5</v>
      </c>
      <c r="Q207" s="17"/>
      <c r="R207" s="555">
        <v>49035</v>
      </c>
      <c r="S207" s="555"/>
      <c r="T207" s="786">
        <f>U207+Y207</f>
        <v>2942100</v>
      </c>
      <c r="U207" s="556">
        <f t="shared" ref="U207:U213" si="619">ROUND(R207*P207*12,2)</f>
        <v>2942100</v>
      </c>
      <c r="V207" s="787">
        <f t="shared" ref="V207:V213" si="620">U207-W207-X207</f>
        <v>2787100</v>
      </c>
      <c r="W207" s="11"/>
      <c r="X207" s="11">
        <f>155*1000</f>
        <v>155000</v>
      </c>
      <c r="Y207" s="556">
        <f t="shared" ref="Y207:Y213" si="621">ROUND(S207*Q207*12,2)</f>
        <v>0</v>
      </c>
      <c r="Z207" s="11">
        <f t="shared" ref="Z207:Z213" si="622">Y207-AA207-AB207</f>
        <v>0</v>
      </c>
      <c r="AA207" s="11"/>
      <c r="AB207" s="11"/>
      <c r="AC207" s="554">
        <f t="shared" ref="AC207:AC213" si="623">AD207+AE207+AF207</f>
        <v>2942100</v>
      </c>
      <c r="AD207" s="433">
        <f t="shared" ref="AD207:AD213" si="624">ROUND((Z207+V207),2)</f>
        <v>2787100</v>
      </c>
      <c r="AE207" s="11">
        <f t="shared" ref="AE207:AF213" si="625">AA207+W207</f>
        <v>0</v>
      </c>
      <c r="AF207" s="11">
        <f t="shared" si="625"/>
        <v>155000</v>
      </c>
      <c r="AG207" s="544">
        <f t="shared" ref="AG207:AG213" si="626">ROUND(AD207*1.302,2)</f>
        <v>3628804.2</v>
      </c>
      <c r="AH207" s="548">
        <v>2209000</v>
      </c>
      <c r="AI207" s="1092" t="s">
        <v>709</v>
      </c>
      <c r="AJ207" s="1095"/>
      <c r="AK207" s="1095"/>
      <c r="AL207" s="557">
        <v>49035</v>
      </c>
      <c r="AM207" s="557">
        <f t="shared" si="615"/>
        <v>0</v>
      </c>
      <c r="AN207" s="1233"/>
      <c r="AO207" s="17">
        <v>5</v>
      </c>
      <c r="AP207" s="17"/>
      <c r="AQ207" s="786">
        <f>AR207+AV207</f>
        <v>2942100</v>
      </c>
      <c r="AR207" s="545">
        <f t="shared" si="596"/>
        <v>2942100</v>
      </c>
      <c r="AS207" s="11">
        <f t="shared" ref="AS207:AS213" si="627">AR207-AT207-AU207</f>
        <v>2787100</v>
      </c>
      <c r="AT207" s="11">
        <f>W207</f>
        <v>0</v>
      </c>
      <c r="AU207" s="11">
        <f t="shared" ref="AU207:AU213" si="628">X207</f>
        <v>155000</v>
      </c>
      <c r="AV207" s="545">
        <f t="shared" si="587"/>
        <v>0</v>
      </c>
      <c r="AW207" s="11">
        <f t="shared" ref="AW207:AW213" si="629">AV207-AX207-AY207</f>
        <v>0</v>
      </c>
      <c r="AX207" s="11">
        <f t="shared" ref="AX207:AY213" si="630">AA207</f>
        <v>0</v>
      </c>
      <c r="AY207" s="11">
        <f t="shared" si="630"/>
        <v>0</v>
      </c>
      <c r="AZ207" s="18">
        <f>AX207+AT207</f>
        <v>0</v>
      </c>
      <c r="BA207" s="18">
        <f t="shared" ref="BA207:BA213" si="631">AY207+AU207</f>
        <v>155000</v>
      </c>
      <c r="BB207" s="19">
        <f>AW207+AS207</f>
        <v>2787100</v>
      </c>
      <c r="BC207" s="544">
        <f>ROUND(BB207*1.302,1)</f>
        <v>3628804.2</v>
      </c>
      <c r="BD207" s="544"/>
      <c r="BE207" s="11"/>
      <c r="BF207" s="445"/>
      <c r="BG207" s="11"/>
      <c r="BH207" s="11"/>
      <c r="BI207" s="11"/>
    </row>
    <row r="208" spans="1:61">
      <c r="A208" s="11">
        <v>2</v>
      </c>
      <c r="B208" s="13" t="s">
        <v>72</v>
      </c>
      <c r="C208" s="17">
        <v>12.1</v>
      </c>
      <c r="D208" s="17">
        <v>0</v>
      </c>
      <c r="E208" s="11">
        <v>5239.2</v>
      </c>
      <c r="F208" s="11"/>
      <c r="G208" s="555">
        <v>36082.639999999999</v>
      </c>
      <c r="H208" s="545">
        <f t="shared" ref="H208:H213" si="632">I208+J208+K208</f>
        <v>5239.2</v>
      </c>
      <c r="I208" s="11">
        <f t="shared" si="617"/>
        <v>5065.5999999999995</v>
      </c>
      <c r="J208" s="11">
        <v>0</v>
      </c>
      <c r="K208" s="11">
        <v>173.6</v>
      </c>
      <c r="L208" s="545">
        <f t="shared" si="618"/>
        <v>0</v>
      </c>
      <c r="M208" s="11">
        <f t="shared" ref="M208:M213" si="633">F208-N208</f>
        <v>0</v>
      </c>
      <c r="N208" s="11"/>
      <c r="O208" s="861">
        <f t="shared" ref="O208:O213" si="634">P208-C208</f>
        <v>3.5999999999999996</v>
      </c>
      <c r="P208" s="1115">
        <f>15.2+0.5</f>
        <v>15.7</v>
      </c>
      <c r="Q208" s="17"/>
      <c r="R208" s="555">
        <v>36082.639999999999</v>
      </c>
      <c r="S208" s="555"/>
      <c r="T208" s="786">
        <f t="shared" ref="T208:T213" si="635">U208+Y208</f>
        <v>6797969.3799999999</v>
      </c>
      <c r="U208" s="556">
        <f t="shared" si="619"/>
        <v>6797969.3799999999</v>
      </c>
      <c r="V208" s="787">
        <f t="shared" si="620"/>
        <v>6517969.3799999999</v>
      </c>
      <c r="W208" s="11"/>
      <c r="X208" s="11">
        <f>280*1000</f>
        <v>280000</v>
      </c>
      <c r="Y208" s="556">
        <f t="shared" si="621"/>
        <v>0</v>
      </c>
      <c r="Z208" s="11">
        <f t="shared" si="622"/>
        <v>0</v>
      </c>
      <c r="AA208" s="11"/>
      <c r="AB208" s="11"/>
      <c r="AC208" s="554">
        <f t="shared" si="623"/>
        <v>6797969.3799999999</v>
      </c>
      <c r="AD208" s="433">
        <f t="shared" si="624"/>
        <v>6517969.3799999999</v>
      </c>
      <c r="AE208" s="11">
        <f t="shared" si="625"/>
        <v>0</v>
      </c>
      <c r="AF208" s="11">
        <f t="shared" si="625"/>
        <v>280000</v>
      </c>
      <c r="AG208" s="544">
        <f t="shared" si="626"/>
        <v>8486396.1300000008</v>
      </c>
      <c r="AH208" s="433"/>
      <c r="AI208" s="1084"/>
      <c r="AJ208" s="850"/>
      <c r="AK208" s="850"/>
      <c r="AL208" s="557">
        <v>36082.639999999999</v>
      </c>
      <c r="AM208" s="557">
        <f t="shared" si="615"/>
        <v>0</v>
      </c>
      <c r="AN208" s="1233">
        <f>AO208-P208</f>
        <v>-0.19999999999999929</v>
      </c>
      <c r="AO208" s="17">
        <v>15.5</v>
      </c>
      <c r="AP208" s="17"/>
      <c r="AQ208" s="786">
        <f t="shared" ref="AQ208:AQ213" si="636">AR208+AV208</f>
        <v>6711371</v>
      </c>
      <c r="AR208" s="545">
        <f t="shared" si="596"/>
        <v>6711371</v>
      </c>
      <c r="AS208" s="11">
        <f t="shared" si="627"/>
        <v>6431371</v>
      </c>
      <c r="AT208" s="11">
        <f t="shared" ref="AT208:AT213" si="637">W208</f>
        <v>0</v>
      </c>
      <c r="AU208" s="11">
        <f t="shared" si="628"/>
        <v>280000</v>
      </c>
      <c r="AV208" s="545">
        <f t="shared" si="587"/>
        <v>0</v>
      </c>
      <c r="AW208" s="11">
        <f t="shared" si="629"/>
        <v>0</v>
      </c>
      <c r="AX208" s="11">
        <f t="shared" si="630"/>
        <v>0</v>
      </c>
      <c r="AY208" s="11">
        <f t="shared" si="630"/>
        <v>0</v>
      </c>
      <c r="AZ208" s="18">
        <f t="shared" ref="AZ208:AZ213" si="638">AX208+AT208</f>
        <v>0</v>
      </c>
      <c r="BA208" s="18">
        <f t="shared" si="631"/>
        <v>280000</v>
      </c>
      <c r="BB208" s="19">
        <f t="shared" ref="BB208:BB213" si="639">AW208+AS208</f>
        <v>6431371</v>
      </c>
      <c r="BC208" s="544">
        <f t="shared" ref="BC208:BC213" si="640">ROUND(BB208*1.302,1)</f>
        <v>8373645</v>
      </c>
      <c r="BD208" s="544"/>
      <c r="BE208" s="11"/>
      <c r="BF208" s="445"/>
      <c r="BG208" s="11"/>
      <c r="BH208" s="11"/>
      <c r="BI208" s="11"/>
    </row>
    <row r="209" spans="1:61">
      <c r="A209" s="11">
        <v>3</v>
      </c>
      <c r="B209" s="14" t="s">
        <v>76</v>
      </c>
      <c r="C209" s="17">
        <v>110.3</v>
      </c>
      <c r="D209" s="17">
        <v>3.9</v>
      </c>
      <c r="E209" s="11">
        <v>30803.7</v>
      </c>
      <c r="F209" s="11">
        <v>605.79999999999995</v>
      </c>
      <c r="G209" s="29">
        <v>23272.67</v>
      </c>
      <c r="H209" s="545">
        <f t="shared" si="632"/>
        <v>30803.7</v>
      </c>
      <c r="I209" s="11">
        <f t="shared" si="617"/>
        <v>28368.7</v>
      </c>
      <c r="J209" s="11">
        <v>0</v>
      </c>
      <c r="K209" s="11">
        <v>2435</v>
      </c>
      <c r="L209" s="545">
        <f t="shared" si="618"/>
        <v>605.79999999999995</v>
      </c>
      <c r="M209" s="11">
        <f t="shared" si="633"/>
        <v>605.79999999999995</v>
      </c>
      <c r="N209" s="11"/>
      <c r="O209" s="861">
        <f t="shared" si="634"/>
        <v>-6.5</v>
      </c>
      <c r="P209" s="1115">
        <v>103.8</v>
      </c>
      <c r="Q209" s="17">
        <v>6.9</v>
      </c>
      <c r="R209" s="29">
        <v>23272.67</v>
      </c>
      <c r="S209" s="555">
        <f>ROUND(F209/D209/12*1000,2)</f>
        <v>12944.44</v>
      </c>
      <c r="T209" s="786">
        <f t="shared" si="635"/>
        <v>30060237.379999999</v>
      </c>
      <c r="U209" s="556">
        <f t="shared" si="619"/>
        <v>28988437.75</v>
      </c>
      <c r="V209" s="787">
        <f t="shared" si="620"/>
        <v>26153437.75</v>
      </c>
      <c r="W209" s="11"/>
      <c r="X209" s="11">
        <f>2835*1000</f>
        <v>2835000</v>
      </c>
      <c r="Y209" s="556">
        <f t="shared" si="621"/>
        <v>1071799.6299999999</v>
      </c>
      <c r="Z209" s="11">
        <f t="shared" si="622"/>
        <v>1071799.6299999999</v>
      </c>
      <c r="AA209" s="11"/>
      <c r="AB209" s="11"/>
      <c r="AC209" s="786">
        <f t="shared" si="623"/>
        <v>30060237.379999999</v>
      </c>
      <c r="AD209" s="433">
        <f t="shared" si="624"/>
        <v>27225237.379999999</v>
      </c>
      <c r="AE209" s="11">
        <f t="shared" si="625"/>
        <v>0</v>
      </c>
      <c r="AF209" s="11">
        <f t="shared" si="625"/>
        <v>2835000</v>
      </c>
      <c r="AG209" s="544">
        <f t="shared" si="626"/>
        <v>35447259.07</v>
      </c>
      <c r="AH209" s="11"/>
      <c r="AI209" s="1084"/>
      <c r="AJ209" s="850"/>
      <c r="AK209" s="850"/>
      <c r="AL209" s="440">
        <v>23272.67</v>
      </c>
      <c r="AM209" s="557">
        <f t="shared" si="615"/>
        <v>12944.44</v>
      </c>
      <c r="AN209" s="1233">
        <f>AO209-P209</f>
        <v>-0.79999999999999716</v>
      </c>
      <c r="AO209" s="17">
        <v>103</v>
      </c>
      <c r="AP209" s="17">
        <v>6.9</v>
      </c>
      <c r="AQ209" s="786">
        <f t="shared" si="636"/>
        <v>29836819.73</v>
      </c>
      <c r="AR209" s="545">
        <f t="shared" si="596"/>
        <v>28765020.100000001</v>
      </c>
      <c r="AS209" s="11">
        <f t="shared" si="627"/>
        <v>25930020.100000001</v>
      </c>
      <c r="AT209" s="11">
        <f t="shared" si="637"/>
        <v>0</v>
      </c>
      <c r="AU209" s="11">
        <f t="shared" si="628"/>
        <v>2835000</v>
      </c>
      <c r="AV209" s="545">
        <f t="shared" si="587"/>
        <v>1071799.6299999999</v>
      </c>
      <c r="AW209" s="11">
        <f t="shared" si="629"/>
        <v>1071799.6299999999</v>
      </c>
      <c r="AX209" s="11">
        <f t="shared" si="630"/>
        <v>0</v>
      </c>
      <c r="AY209" s="11">
        <f t="shared" si="630"/>
        <v>0</v>
      </c>
      <c r="AZ209" s="18">
        <f t="shared" si="638"/>
        <v>0</v>
      </c>
      <c r="BA209" s="18">
        <f t="shared" si="631"/>
        <v>2835000</v>
      </c>
      <c r="BB209" s="19">
        <f t="shared" si="639"/>
        <v>27001819.73</v>
      </c>
      <c r="BC209" s="544">
        <f t="shared" si="640"/>
        <v>35156369.299999997</v>
      </c>
      <c r="BD209" s="544"/>
      <c r="BE209" s="11"/>
      <c r="BF209" s="445"/>
      <c r="BG209" s="11"/>
      <c r="BH209" s="11"/>
      <c r="BI209" s="11"/>
    </row>
    <row r="210" spans="1:61">
      <c r="A210" s="11">
        <v>4</v>
      </c>
      <c r="B210" s="14" t="s">
        <v>77</v>
      </c>
      <c r="C210" s="17">
        <v>1.5</v>
      </c>
      <c r="D210" s="17"/>
      <c r="E210" s="11">
        <v>330</v>
      </c>
      <c r="F210" s="11"/>
      <c r="G210" s="555"/>
      <c r="H210" s="545">
        <f t="shared" si="632"/>
        <v>330</v>
      </c>
      <c r="I210" s="11">
        <f t="shared" si="617"/>
        <v>308.89999999999998</v>
      </c>
      <c r="J210" s="11"/>
      <c r="K210" s="11">
        <v>21.1</v>
      </c>
      <c r="L210" s="545">
        <f t="shared" si="618"/>
        <v>0</v>
      </c>
      <c r="M210" s="11">
        <f t="shared" si="633"/>
        <v>0</v>
      </c>
      <c r="N210" s="11"/>
      <c r="O210" s="861">
        <f t="shared" si="634"/>
        <v>2.5</v>
      </c>
      <c r="P210" s="444">
        <v>4</v>
      </c>
      <c r="Q210" s="17"/>
      <c r="R210" s="555">
        <v>18333</v>
      </c>
      <c r="S210" s="555"/>
      <c r="T210" s="554">
        <f t="shared" si="635"/>
        <v>879984</v>
      </c>
      <c r="U210" s="556">
        <f t="shared" si="619"/>
        <v>879984</v>
      </c>
      <c r="V210" s="433">
        <f t="shared" si="620"/>
        <v>809984</v>
      </c>
      <c r="W210" s="11"/>
      <c r="X210" s="11">
        <f>70*1000</f>
        <v>70000</v>
      </c>
      <c r="Y210" s="556">
        <f t="shared" si="621"/>
        <v>0</v>
      </c>
      <c r="Z210" s="11">
        <f t="shared" si="622"/>
        <v>0</v>
      </c>
      <c r="AA210" s="11"/>
      <c r="AB210" s="11"/>
      <c r="AC210" s="554">
        <f t="shared" si="623"/>
        <v>879984</v>
      </c>
      <c r="AD210" s="433">
        <f t="shared" si="624"/>
        <v>809984</v>
      </c>
      <c r="AE210" s="11">
        <f t="shared" si="625"/>
        <v>0</v>
      </c>
      <c r="AF210" s="11">
        <f t="shared" si="625"/>
        <v>70000</v>
      </c>
      <c r="AG210" s="544">
        <f t="shared" si="626"/>
        <v>1054599.17</v>
      </c>
      <c r="AH210" s="11"/>
      <c r="AI210" s="1084"/>
      <c r="AJ210" s="850"/>
      <c r="AK210" s="850"/>
      <c r="AL210" s="557">
        <v>18333</v>
      </c>
      <c r="AM210" s="557">
        <f t="shared" si="615"/>
        <v>0</v>
      </c>
      <c r="AN210" s="1233">
        <f>AO210-P210</f>
        <v>3</v>
      </c>
      <c r="AO210" s="17">
        <v>7</v>
      </c>
      <c r="AP210" s="17"/>
      <c r="AQ210" s="786">
        <f t="shared" si="636"/>
        <v>1539972</v>
      </c>
      <c r="AR210" s="545">
        <f t="shared" si="596"/>
        <v>1539972</v>
      </c>
      <c r="AS210" s="11">
        <f t="shared" si="627"/>
        <v>1539872</v>
      </c>
      <c r="AT210" s="11">
        <f t="shared" si="637"/>
        <v>0</v>
      </c>
      <c r="AU210" s="11">
        <v>100</v>
      </c>
      <c r="AV210" s="545">
        <f t="shared" si="587"/>
        <v>0</v>
      </c>
      <c r="AW210" s="11">
        <f t="shared" si="629"/>
        <v>0</v>
      </c>
      <c r="AX210" s="11">
        <f t="shared" si="630"/>
        <v>0</v>
      </c>
      <c r="AY210" s="11">
        <f t="shared" si="630"/>
        <v>0</v>
      </c>
      <c r="AZ210" s="18">
        <f t="shared" si="638"/>
        <v>0</v>
      </c>
      <c r="BA210" s="18">
        <v>100</v>
      </c>
      <c r="BB210" s="19">
        <f t="shared" si="639"/>
        <v>1539872</v>
      </c>
      <c r="BC210" s="544">
        <f t="shared" si="640"/>
        <v>2004913.3</v>
      </c>
      <c r="BD210" s="544"/>
      <c r="BE210" s="11"/>
      <c r="BF210" s="445"/>
      <c r="BG210" s="11"/>
      <c r="BH210" s="11"/>
      <c r="BI210" s="11"/>
    </row>
    <row r="211" spans="1:61">
      <c r="A211" s="11">
        <v>5</v>
      </c>
      <c r="B211" s="13" t="s">
        <v>73</v>
      </c>
      <c r="C211" s="17"/>
      <c r="D211" s="17"/>
      <c r="E211" s="11"/>
      <c r="F211" s="11"/>
      <c r="G211" s="555"/>
      <c r="H211" s="545">
        <f t="shared" si="632"/>
        <v>0</v>
      </c>
      <c r="I211" s="11">
        <f t="shared" si="617"/>
        <v>0</v>
      </c>
      <c r="J211" s="11"/>
      <c r="K211" s="11"/>
      <c r="L211" s="545">
        <f t="shared" si="618"/>
        <v>0</v>
      </c>
      <c r="M211" s="11">
        <f t="shared" si="633"/>
        <v>0</v>
      </c>
      <c r="N211" s="11"/>
      <c r="O211" s="861">
        <f t="shared" si="634"/>
        <v>0</v>
      </c>
      <c r="P211" s="444"/>
      <c r="Q211" s="17"/>
      <c r="R211" s="555"/>
      <c r="S211" s="555"/>
      <c r="T211" s="554">
        <f t="shared" si="635"/>
        <v>0</v>
      </c>
      <c r="U211" s="556">
        <f t="shared" si="619"/>
        <v>0</v>
      </c>
      <c r="V211" s="433">
        <f t="shared" si="620"/>
        <v>0</v>
      </c>
      <c r="W211" s="11"/>
      <c r="X211" s="11"/>
      <c r="Y211" s="556">
        <f t="shared" si="621"/>
        <v>0</v>
      </c>
      <c r="Z211" s="11">
        <f t="shared" si="622"/>
        <v>0</v>
      </c>
      <c r="AA211" s="11"/>
      <c r="AB211" s="11"/>
      <c r="AC211" s="554">
        <f t="shared" si="623"/>
        <v>0</v>
      </c>
      <c r="AD211" s="433">
        <f t="shared" si="624"/>
        <v>0</v>
      </c>
      <c r="AE211" s="11">
        <f t="shared" si="625"/>
        <v>0</v>
      </c>
      <c r="AF211" s="11">
        <f t="shared" si="625"/>
        <v>0</v>
      </c>
      <c r="AG211" s="544">
        <f t="shared" si="626"/>
        <v>0</v>
      </c>
      <c r="AH211" s="11"/>
      <c r="AI211" s="1084"/>
      <c r="AJ211" s="850"/>
      <c r="AK211" s="850"/>
      <c r="AL211" s="557"/>
      <c r="AM211" s="557">
        <f t="shared" si="615"/>
        <v>0</v>
      </c>
      <c r="AN211" s="1233"/>
      <c r="AO211" s="17"/>
      <c r="AP211" s="17"/>
      <c r="AQ211" s="554">
        <f t="shared" si="636"/>
        <v>0</v>
      </c>
      <c r="AR211" s="545">
        <f t="shared" si="596"/>
        <v>0</v>
      </c>
      <c r="AS211" s="11">
        <f t="shared" si="627"/>
        <v>0</v>
      </c>
      <c r="AT211" s="11">
        <f t="shared" si="637"/>
        <v>0</v>
      </c>
      <c r="AU211" s="11">
        <f t="shared" si="628"/>
        <v>0</v>
      </c>
      <c r="AV211" s="545">
        <f t="shared" si="587"/>
        <v>0</v>
      </c>
      <c r="AW211" s="11">
        <f t="shared" si="629"/>
        <v>0</v>
      </c>
      <c r="AX211" s="11">
        <f t="shared" si="630"/>
        <v>0</v>
      </c>
      <c r="AY211" s="11">
        <f t="shared" si="630"/>
        <v>0</v>
      </c>
      <c r="AZ211" s="18">
        <f t="shared" si="638"/>
        <v>0</v>
      </c>
      <c r="BA211" s="18">
        <f t="shared" si="631"/>
        <v>0</v>
      </c>
      <c r="BB211" s="19">
        <f t="shared" si="639"/>
        <v>0</v>
      </c>
      <c r="BC211" s="544">
        <f t="shared" si="640"/>
        <v>0</v>
      </c>
      <c r="BD211" s="544"/>
      <c r="BE211" s="11"/>
      <c r="BF211" s="445"/>
      <c r="BG211" s="11"/>
      <c r="BH211" s="11"/>
      <c r="BI211" s="11"/>
    </row>
    <row r="212" spans="1:61">
      <c r="A212" s="11">
        <v>6</v>
      </c>
      <c r="B212" s="13" t="s">
        <v>74</v>
      </c>
      <c r="C212" s="17"/>
      <c r="D212" s="17"/>
      <c r="E212" s="11"/>
      <c r="F212" s="11"/>
      <c r="G212" s="555"/>
      <c r="H212" s="545">
        <f t="shared" si="632"/>
        <v>0</v>
      </c>
      <c r="I212" s="11">
        <f t="shared" si="617"/>
        <v>0</v>
      </c>
      <c r="J212" s="11"/>
      <c r="K212" s="11"/>
      <c r="L212" s="545">
        <f t="shared" si="618"/>
        <v>0</v>
      </c>
      <c r="M212" s="11">
        <f t="shared" si="633"/>
        <v>0</v>
      </c>
      <c r="N212" s="11"/>
      <c r="O212" s="861">
        <f t="shared" si="634"/>
        <v>0</v>
      </c>
      <c r="P212" s="444"/>
      <c r="Q212" s="17"/>
      <c r="R212" s="555"/>
      <c r="S212" s="555"/>
      <c r="T212" s="554">
        <f t="shared" si="635"/>
        <v>0</v>
      </c>
      <c r="U212" s="556">
        <f t="shared" si="619"/>
        <v>0</v>
      </c>
      <c r="V212" s="433">
        <f t="shared" si="620"/>
        <v>0</v>
      </c>
      <c r="W212" s="11"/>
      <c r="X212" s="11"/>
      <c r="Y212" s="556">
        <f t="shared" si="621"/>
        <v>0</v>
      </c>
      <c r="Z212" s="11">
        <f t="shared" si="622"/>
        <v>0</v>
      </c>
      <c r="AA212" s="11"/>
      <c r="AB212" s="11"/>
      <c r="AC212" s="554">
        <f t="shared" si="623"/>
        <v>0</v>
      </c>
      <c r="AD212" s="433">
        <f t="shared" si="624"/>
        <v>0</v>
      </c>
      <c r="AE212" s="11">
        <f t="shared" si="625"/>
        <v>0</v>
      </c>
      <c r="AF212" s="11">
        <f t="shared" si="625"/>
        <v>0</v>
      </c>
      <c r="AG212" s="544">
        <f t="shared" si="626"/>
        <v>0</v>
      </c>
      <c r="AH212" s="11"/>
      <c r="AI212" s="1084"/>
      <c r="AJ212" s="850"/>
      <c r="AK212" s="850"/>
      <c r="AL212" s="557"/>
      <c r="AM212" s="557">
        <f t="shared" si="615"/>
        <v>0</v>
      </c>
      <c r="AN212" s="1233"/>
      <c r="AO212" s="17"/>
      <c r="AP212" s="17"/>
      <c r="AQ212" s="554">
        <f t="shared" si="636"/>
        <v>0</v>
      </c>
      <c r="AR212" s="545">
        <f t="shared" si="596"/>
        <v>0</v>
      </c>
      <c r="AS212" s="11">
        <f t="shared" si="627"/>
        <v>0</v>
      </c>
      <c r="AT212" s="11">
        <f t="shared" si="637"/>
        <v>0</v>
      </c>
      <c r="AU212" s="11">
        <f t="shared" si="628"/>
        <v>0</v>
      </c>
      <c r="AV212" s="545">
        <f t="shared" si="587"/>
        <v>0</v>
      </c>
      <c r="AW212" s="11">
        <f t="shared" si="629"/>
        <v>0</v>
      </c>
      <c r="AX212" s="11">
        <f t="shared" si="630"/>
        <v>0</v>
      </c>
      <c r="AY212" s="11">
        <f t="shared" si="630"/>
        <v>0</v>
      </c>
      <c r="AZ212" s="18">
        <f t="shared" si="638"/>
        <v>0</v>
      </c>
      <c r="BA212" s="18">
        <f t="shared" si="631"/>
        <v>0</v>
      </c>
      <c r="BB212" s="19">
        <f t="shared" si="639"/>
        <v>0</v>
      </c>
      <c r="BC212" s="544">
        <f t="shared" si="640"/>
        <v>0</v>
      </c>
      <c r="BD212" s="544"/>
      <c r="BE212" s="11"/>
      <c r="BF212" s="445"/>
      <c r="BG212" s="11"/>
      <c r="BH212" s="11"/>
      <c r="BI212" s="11"/>
    </row>
    <row r="213" spans="1:61">
      <c r="A213" s="11">
        <v>7</v>
      </c>
      <c r="B213" s="1131" t="s">
        <v>814</v>
      </c>
      <c r="C213" s="17">
        <v>87.9</v>
      </c>
      <c r="D213" s="17">
        <v>6.9</v>
      </c>
      <c r="E213" s="11">
        <v>10233</v>
      </c>
      <c r="F213" s="11">
        <v>557.1</v>
      </c>
      <c r="G213" s="555">
        <v>9701.3700000000008</v>
      </c>
      <c r="H213" s="545">
        <f t="shared" si="632"/>
        <v>10233</v>
      </c>
      <c r="I213" s="11">
        <f t="shared" si="617"/>
        <v>10233</v>
      </c>
      <c r="J213" s="11">
        <v>0</v>
      </c>
      <c r="K213" s="11">
        <v>0</v>
      </c>
      <c r="L213" s="545">
        <f t="shared" si="618"/>
        <v>557.1</v>
      </c>
      <c r="M213" s="11">
        <f t="shared" si="633"/>
        <v>557.1</v>
      </c>
      <c r="N213" s="11"/>
      <c r="O213" s="861">
        <f t="shared" si="634"/>
        <v>3.3999999999999915</v>
      </c>
      <c r="P213" s="444">
        <v>91.3</v>
      </c>
      <c r="Q213" s="17">
        <v>7.7</v>
      </c>
      <c r="R213" s="555">
        <v>9701.3700000000008</v>
      </c>
      <c r="S213" s="555">
        <f>ROUND(F213/D213/12*1000,2)</f>
        <v>6728.26</v>
      </c>
      <c r="T213" s="786">
        <f t="shared" si="635"/>
        <v>11250512.190000001</v>
      </c>
      <c r="U213" s="556">
        <f t="shared" si="619"/>
        <v>10628820.970000001</v>
      </c>
      <c r="V213" s="787">
        <f t="shared" si="620"/>
        <v>10628820.970000001</v>
      </c>
      <c r="W213" s="11"/>
      <c r="X213" s="11"/>
      <c r="Y213" s="556">
        <f t="shared" si="621"/>
        <v>621691.22</v>
      </c>
      <c r="Z213" s="11">
        <f t="shared" si="622"/>
        <v>621691.22</v>
      </c>
      <c r="AA213" s="11"/>
      <c r="AB213" s="11"/>
      <c r="AC213" s="786">
        <f t="shared" si="623"/>
        <v>11250512.189999999</v>
      </c>
      <c r="AD213" s="433">
        <f t="shared" si="624"/>
        <v>11250512.189999999</v>
      </c>
      <c r="AE213" s="11">
        <f t="shared" si="625"/>
        <v>0</v>
      </c>
      <c r="AF213" s="11">
        <f t="shared" si="625"/>
        <v>0</v>
      </c>
      <c r="AG213" s="544">
        <f t="shared" si="626"/>
        <v>14648166.869999999</v>
      </c>
      <c r="AH213" s="11"/>
      <c r="AI213" s="1084"/>
      <c r="AJ213" s="850"/>
      <c r="AK213" s="850"/>
      <c r="AL213" s="557">
        <v>9701.3700000000008</v>
      </c>
      <c r="AM213" s="557">
        <f t="shared" si="615"/>
        <v>6728.26</v>
      </c>
      <c r="AN213" s="1233">
        <f>AO213-P213</f>
        <v>-2.2999999999999972</v>
      </c>
      <c r="AO213" s="17">
        <v>89</v>
      </c>
      <c r="AP213" s="17">
        <v>7.3</v>
      </c>
      <c r="AQ213" s="786">
        <f t="shared" si="636"/>
        <v>10950458.779999999</v>
      </c>
      <c r="AR213" s="545">
        <f t="shared" si="596"/>
        <v>10361063.199999999</v>
      </c>
      <c r="AS213" s="11">
        <f t="shared" si="627"/>
        <v>10361063.199999999</v>
      </c>
      <c r="AT213" s="11">
        <f t="shared" si="637"/>
        <v>0</v>
      </c>
      <c r="AU213" s="11">
        <f t="shared" si="628"/>
        <v>0</v>
      </c>
      <c r="AV213" s="545">
        <f t="shared" si="587"/>
        <v>589395.57999999996</v>
      </c>
      <c r="AW213" s="11">
        <f t="shared" si="629"/>
        <v>589395.57999999996</v>
      </c>
      <c r="AX213" s="11">
        <f t="shared" si="630"/>
        <v>0</v>
      </c>
      <c r="AY213" s="11">
        <f t="shared" si="630"/>
        <v>0</v>
      </c>
      <c r="AZ213" s="18">
        <f t="shared" si="638"/>
        <v>0</v>
      </c>
      <c r="BA213" s="18">
        <f t="shared" si="631"/>
        <v>0</v>
      </c>
      <c r="BB213" s="19">
        <f t="shared" si="639"/>
        <v>10950458.779999999</v>
      </c>
      <c r="BC213" s="544">
        <f t="shared" si="640"/>
        <v>14257497.300000001</v>
      </c>
      <c r="BD213" s="544"/>
      <c r="BE213" s="11"/>
      <c r="BF213" s="445"/>
      <c r="BG213" s="11"/>
      <c r="BH213" s="11"/>
      <c r="BI213" s="11"/>
    </row>
    <row r="214" spans="1:61">
      <c r="A214" s="11"/>
      <c r="B214" s="1132" t="s">
        <v>815</v>
      </c>
      <c r="C214" s="17"/>
      <c r="D214" s="17"/>
      <c r="E214" s="11"/>
      <c r="F214" s="11"/>
      <c r="G214" s="555"/>
      <c r="H214" s="545"/>
      <c r="I214" s="11"/>
      <c r="J214" s="11"/>
      <c r="K214" s="11"/>
      <c r="L214" s="545"/>
      <c r="M214" s="11"/>
      <c r="N214" s="11"/>
      <c r="O214" s="861"/>
      <c r="P214" s="444"/>
      <c r="Q214" s="17"/>
      <c r="R214" s="555"/>
      <c r="S214" s="555"/>
      <c r="T214" s="786"/>
      <c r="U214" s="556"/>
      <c r="V214" s="787"/>
      <c r="W214" s="11"/>
      <c r="X214" s="11"/>
      <c r="Y214" s="556"/>
      <c r="Z214" s="11"/>
      <c r="AA214" s="11"/>
      <c r="AB214" s="11"/>
      <c r="AC214" s="786"/>
      <c r="AD214" s="433"/>
      <c r="AE214" s="11"/>
      <c r="AF214" s="11"/>
      <c r="AG214" s="544"/>
      <c r="AH214" s="11"/>
      <c r="AI214" s="1084"/>
      <c r="AJ214" s="850"/>
      <c r="AK214" s="850"/>
      <c r="AL214" s="557"/>
      <c r="AM214" s="557"/>
      <c r="AN214" s="1233"/>
      <c r="AO214" s="17"/>
      <c r="AP214" s="17"/>
      <c r="AQ214" s="786"/>
      <c r="AR214" s="545"/>
      <c r="AS214" s="11"/>
      <c r="AT214" s="11"/>
      <c r="AU214" s="11"/>
      <c r="AV214" s="545"/>
      <c r="AW214" s="11"/>
      <c r="AX214" s="11"/>
      <c r="AY214" s="11"/>
      <c r="AZ214" s="18"/>
      <c r="BA214" s="18"/>
      <c r="BB214" s="19"/>
      <c r="BC214" s="544"/>
      <c r="BD214" s="544"/>
      <c r="BE214" s="1045"/>
      <c r="BF214" s="445"/>
      <c r="BG214" s="1045"/>
      <c r="BH214" s="11"/>
      <c r="BI214" s="11"/>
    </row>
    <row r="215" spans="1:61" ht="19.149999999999999" customHeight="1">
      <c r="A215" s="684">
        <v>23</v>
      </c>
      <c r="B215" s="685" t="s">
        <v>273</v>
      </c>
      <c r="C215" s="684">
        <f>C216+C217+C218+C219+C220+C221+C222</f>
        <v>154.59999999999997</v>
      </c>
      <c r="D215" s="684">
        <f>D216+D217+D218+D219+D220+D221+D222</f>
        <v>9.8000000000000007</v>
      </c>
      <c r="E215" s="684">
        <f>SUM(E216:E222)</f>
        <v>35315.200000000004</v>
      </c>
      <c r="F215" s="684">
        <f t="shared" ref="F215:AG215" si="641">F216+F217+F218+F219+F220+F221+F222</f>
        <v>1895.3999999999999</v>
      </c>
      <c r="G215" s="686">
        <v>19035.79</v>
      </c>
      <c r="H215" s="684">
        <f t="shared" si="641"/>
        <v>35315.200000000004</v>
      </c>
      <c r="I215" s="684">
        <f t="shared" si="641"/>
        <v>33825.4</v>
      </c>
      <c r="J215" s="684">
        <f t="shared" si="641"/>
        <v>0</v>
      </c>
      <c r="K215" s="684">
        <f t="shared" si="641"/>
        <v>1489.8</v>
      </c>
      <c r="L215" s="684">
        <f t="shared" si="641"/>
        <v>1895.3999999999999</v>
      </c>
      <c r="M215" s="684">
        <f t="shared" si="641"/>
        <v>1895.3999999999999</v>
      </c>
      <c r="N215" s="684">
        <f t="shared" si="641"/>
        <v>0</v>
      </c>
      <c r="O215" s="687">
        <f t="shared" si="641"/>
        <v>-1.5999999999999912</v>
      </c>
      <c r="P215" s="688">
        <f t="shared" si="641"/>
        <v>153</v>
      </c>
      <c r="Q215" s="684">
        <f t="shared" si="641"/>
        <v>15</v>
      </c>
      <c r="R215" s="686">
        <v>19035.79</v>
      </c>
      <c r="S215" s="686"/>
      <c r="T215" s="689">
        <f>SUM(T216:T222)</f>
        <v>37682119.079999998</v>
      </c>
      <c r="U215" s="684">
        <f t="shared" ref="U215:AB215" si="642">U216+U217+U218+U219+U220+U221+U222</f>
        <v>34930288.679999992</v>
      </c>
      <c r="V215" s="684">
        <f t="shared" si="642"/>
        <v>33440288.679999996</v>
      </c>
      <c r="W215" s="684">
        <f t="shared" si="642"/>
        <v>0</v>
      </c>
      <c r="X215" s="684">
        <f t="shared" si="642"/>
        <v>1490000</v>
      </c>
      <c r="Y215" s="684">
        <f t="shared" si="642"/>
        <v>2751830.4</v>
      </c>
      <c r="Z215" s="684">
        <f t="shared" si="642"/>
        <v>2751830.4</v>
      </c>
      <c r="AA215" s="684">
        <f t="shared" si="642"/>
        <v>0</v>
      </c>
      <c r="AB215" s="684">
        <f t="shared" si="642"/>
        <v>0</v>
      </c>
      <c r="AC215" s="684">
        <f t="shared" si="641"/>
        <v>37682119.079999998</v>
      </c>
      <c r="AD215" s="684">
        <f t="shared" si="641"/>
        <v>36192119.079999998</v>
      </c>
      <c r="AE215" s="684">
        <f t="shared" si="641"/>
        <v>0</v>
      </c>
      <c r="AF215" s="684">
        <f t="shared" si="641"/>
        <v>1490000</v>
      </c>
      <c r="AG215" s="684">
        <f t="shared" si="641"/>
        <v>47122139.039999999</v>
      </c>
      <c r="AH215" s="900">
        <f>2008093.04-178093.04</f>
        <v>1830000</v>
      </c>
      <c r="AI215" s="1091">
        <v>49130232.079999998</v>
      </c>
      <c r="AJ215" s="765">
        <f>AH215+AG215</f>
        <v>48952139.039999999</v>
      </c>
      <c r="AK215" s="876">
        <f>AJ215-AI215</f>
        <v>-178093.03999999911</v>
      </c>
      <c r="AL215" s="692">
        <v>19035.79</v>
      </c>
      <c r="AM215" s="692">
        <f t="shared" ref="AM215:AM266" si="643">S215</f>
        <v>0</v>
      </c>
      <c r="AN215" s="684">
        <f>AN216+AN217+AN218+AN219+AN220+AN221+AN222</f>
        <v>0</v>
      </c>
      <c r="AO215" s="684">
        <f>AO216+AO217+AO218+AO219+AO220+AO221+AO222</f>
        <v>153</v>
      </c>
      <c r="AP215" s="684">
        <f t="shared" ref="AP215:BC215" si="644">AP216+AP217+AP218+AP219+AP220+AP221+AP222</f>
        <v>15</v>
      </c>
      <c r="AQ215" s="689">
        <f>SUM(AQ216:AQ222)</f>
        <v>37682119.100000001</v>
      </c>
      <c r="AR215" s="684">
        <f t="shared" si="596"/>
        <v>34949710.399999999</v>
      </c>
      <c r="AS215" s="684">
        <f t="shared" si="644"/>
        <v>33440288.700000003</v>
      </c>
      <c r="AT215" s="684">
        <f t="shared" si="644"/>
        <v>0</v>
      </c>
      <c r="AU215" s="684">
        <f t="shared" si="644"/>
        <v>1490000</v>
      </c>
      <c r="AV215" s="684">
        <f t="shared" si="587"/>
        <v>0</v>
      </c>
      <c r="AW215" s="684">
        <f>AW216+AW217+AW218+AW219+AW220+AW221+AW222</f>
        <v>2751830.4</v>
      </c>
      <c r="AX215" s="684">
        <f t="shared" si="644"/>
        <v>0</v>
      </c>
      <c r="AY215" s="684">
        <f t="shared" si="644"/>
        <v>0</v>
      </c>
      <c r="AZ215" s="684">
        <f t="shared" si="644"/>
        <v>0</v>
      </c>
      <c r="BA215" s="684">
        <f t="shared" si="644"/>
        <v>1490000</v>
      </c>
      <c r="BB215" s="684">
        <f t="shared" si="644"/>
        <v>36192119.100000001</v>
      </c>
      <c r="BC215" s="684">
        <f t="shared" si="644"/>
        <v>47122139.100000009</v>
      </c>
      <c r="BD215" s="686">
        <v>2008092.98</v>
      </c>
      <c r="BE215" s="693">
        <f>BD215+BC215</f>
        <v>49130232.080000006</v>
      </c>
      <c r="BF215" s="691">
        <v>49130232.079999998</v>
      </c>
      <c r="BG215" s="768">
        <f>BE215-BF215</f>
        <v>0</v>
      </c>
      <c r="BH215" s="876">
        <f>AG215+AH215</f>
        <v>48952139.039999999</v>
      </c>
      <c r="BI215" s="876">
        <f>BH215-AI215</f>
        <v>-178093.03999999911</v>
      </c>
    </row>
    <row r="216" spans="1:61">
      <c r="A216" s="11">
        <v>1</v>
      </c>
      <c r="B216" s="694" t="s">
        <v>71</v>
      </c>
      <c r="C216" s="695">
        <v>4</v>
      </c>
      <c r="D216" s="695"/>
      <c r="E216" s="11">
        <v>2110.8000000000002</v>
      </c>
      <c r="F216" s="11"/>
      <c r="G216" s="696">
        <v>43975</v>
      </c>
      <c r="H216" s="684">
        <f>I216+J216+K216</f>
        <v>2110.8000000000002</v>
      </c>
      <c r="I216" s="11">
        <f t="shared" ref="I216:I222" si="645">E216-K216-J216</f>
        <v>2060.1000000000004</v>
      </c>
      <c r="J216" s="11">
        <v>0</v>
      </c>
      <c r="K216" s="11">
        <v>50.7</v>
      </c>
      <c r="L216" s="545">
        <f t="shared" ref="L216:L222" si="646">M216+N216</f>
        <v>0</v>
      </c>
      <c r="M216" s="11">
        <f>F216-N216</f>
        <v>0</v>
      </c>
      <c r="N216" s="11"/>
      <c r="O216" s="861">
        <f>P216-C216</f>
        <v>0</v>
      </c>
      <c r="P216" s="697">
        <v>4</v>
      </c>
      <c r="Q216" s="695"/>
      <c r="R216" s="696">
        <v>43975</v>
      </c>
      <c r="S216" s="696"/>
      <c r="T216" s="698">
        <f>U216+Y216</f>
        <v>2110800</v>
      </c>
      <c r="U216" s="699">
        <f>ROUND(R216*P216*12,2)</f>
        <v>2110800</v>
      </c>
      <c r="V216" s="433">
        <f t="shared" ref="V216:V222" si="647">U216-W216-X216</f>
        <v>2050800</v>
      </c>
      <c r="W216" s="11"/>
      <c r="X216" s="11">
        <v>60000</v>
      </c>
      <c r="Y216" s="699">
        <f t="shared" ref="Y216:Y222" si="648">ROUND(S216*Q216*12,2)</f>
        <v>0</v>
      </c>
      <c r="Z216" s="11">
        <f t="shared" ref="Z216:Z222" si="649">Y216-AA216-AB216</f>
        <v>0</v>
      </c>
      <c r="AA216" s="11"/>
      <c r="AB216" s="11"/>
      <c r="AC216" s="698">
        <f>AD216+AE216+AF216</f>
        <v>2110800</v>
      </c>
      <c r="AD216" s="433">
        <f>ROUND((Z216+V216),2)</f>
        <v>2050800</v>
      </c>
      <c r="AE216" s="11">
        <f t="shared" ref="AE216:AF222" si="650">AA216+W216</f>
        <v>0</v>
      </c>
      <c r="AF216" s="11">
        <f t="shared" si="650"/>
        <v>60000</v>
      </c>
      <c r="AG216" s="700">
        <f t="shared" ref="AG216:AG222" si="651">ROUND(AD216*1.302,2)</f>
        <v>2670141.6</v>
      </c>
      <c r="AH216" s="11">
        <v>1830000</v>
      </c>
      <c r="AI216" s="1082"/>
      <c r="AJ216" s="910"/>
      <c r="AK216" s="910"/>
      <c r="AL216" s="702">
        <v>43975</v>
      </c>
      <c r="AM216" s="702">
        <f t="shared" si="643"/>
        <v>0</v>
      </c>
      <c r="AN216" s="1233">
        <f>AO216-P216</f>
        <v>0</v>
      </c>
      <c r="AO216" s="695">
        <v>4</v>
      </c>
      <c r="AP216" s="695"/>
      <c r="AQ216" s="698">
        <f>AR216+AV216</f>
        <v>2110800</v>
      </c>
      <c r="AR216" s="684">
        <f t="shared" si="596"/>
        <v>2110800</v>
      </c>
      <c r="AS216" s="11">
        <f t="shared" ref="AS216:AS222" si="652">AR216-AT216-AU216</f>
        <v>2050800</v>
      </c>
      <c r="AT216" s="11">
        <f>W216</f>
        <v>0</v>
      </c>
      <c r="AU216" s="11">
        <f>X216</f>
        <v>60000</v>
      </c>
      <c r="AV216" s="684">
        <f t="shared" si="587"/>
        <v>0</v>
      </c>
      <c r="AW216" s="11">
        <f t="shared" ref="AW216:AW222" si="653">AV216-AX216-AY216</f>
        <v>0</v>
      </c>
      <c r="AX216" s="11">
        <f t="shared" ref="AX216:AY222" si="654">AA216</f>
        <v>0</v>
      </c>
      <c r="AY216" s="11">
        <f t="shared" si="654"/>
        <v>0</v>
      </c>
      <c r="AZ216" s="18">
        <f>AX216+AT216</f>
        <v>0</v>
      </c>
      <c r="BA216" s="18">
        <f t="shared" ref="BA216:BA222" si="655">AY216+AU216</f>
        <v>60000</v>
      </c>
      <c r="BB216" s="703">
        <f>AW216+AS216</f>
        <v>2050800</v>
      </c>
      <c r="BC216" s="700">
        <f>ROUND(BB216*1.302,1)</f>
        <v>2670141.6</v>
      </c>
      <c r="BD216" s="700"/>
      <c r="BE216" s="11"/>
      <c r="BF216" s="701"/>
      <c r="BG216" s="11"/>
      <c r="BH216" s="872"/>
    </row>
    <row r="217" spans="1:61">
      <c r="A217" s="11">
        <v>2</v>
      </c>
      <c r="B217" s="694" t="s">
        <v>72</v>
      </c>
      <c r="C217" s="695">
        <v>8.6</v>
      </c>
      <c r="D217" s="695"/>
      <c r="E217" s="11">
        <v>3810.3</v>
      </c>
      <c r="F217" s="11"/>
      <c r="G217" s="696">
        <v>36921.51</v>
      </c>
      <c r="H217" s="684">
        <f t="shared" ref="H217:H222" si="656">I217+J217+K217</f>
        <v>3810.3</v>
      </c>
      <c r="I217" s="11">
        <f t="shared" si="645"/>
        <v>3656.2000000000003</v>
      </c>
      <c r="J217" s="11">
        <v>0</v>
      </c>
      <c r="K217" s="11">
        <v>154.1</v>
      </c>
      <c r="L217" s="545">
        <f t="shared" si="646"/>
        <v>0</v>
      </c>
      <c r="M217" s="11">
        <f t="shared" ref="M217:M222" si="657">F217-N217</f>
        <v>0</v>
      </c>
      <c r="N217" s="11"/>
      <c r="O217" s="861">
        <f t="shared" ref="O217:O222" si="658">P217-C217</f>
        <v>0.40000000000000036</v>
      </c>
      <c r="P217" s="697">
        <v>9</v>
      </c>
      <c r="Q217" s="695"/>
      <c r="R217" s="696">
        <v>36921.51</v>
      </c>
      <c r="S217" s="696"/>
      <c r="T217" s="698">
        <f t="shared" ref="T217:T222" si="659">U217+Y217</f>
        <v>3987523.08</v>
      </c>
      <c r="U217" s="699">
        <f t="shared" ref="U217:U222" si="660">ROUND(R217*P217*12,2)</f>
        <v>3987523.08</v>
      </c>
      <c r="V217" s="433">
        <f t="shared" si="647"/>
        <v>3802523.08</v>
      </c>
      <c r="W217" s="11"/>
      <c r="X217" s="11">
        <v>185000</v>
      </c>
      <c r="Y217" s="699">
        <f t="shared" si="648"/>
        <v>0</v>
      </c>
      <c r="Z217" s="11">
        <f t="shared" si="649"/>
        <v>0</v>
      </c>
      <c r="AA217" s="11"/>
      <c r="AB217" s="11"/>
      <c r="AC217" s="698">
        <f t="shared" ref="AC217:AC222" si="661">AD217+AE217+AF217</f>
        <v>3987523.08</v>
      </c>
      <c r="AD217" s="433">
        <f t="shared" ref="AD217:AD222" si="662">ROUND((Z217+V217),2)</f>
        <v>3802523.08</v>
      </c>
      <c r="AE217" s="11">
        <f t="shared" si="650"/>
        <v>0</v>
      </c>
      <c r="AF217" s="11">
        <f t="shared" si="650"/>
        <v>185000</v>
      </c>
      <c r="AG217" s="700">
        <f t="shared" si="651"/>
        <v>4950885.05</v>
      </c>
      <c r="AH217" s="433">
        <f>AH215-AH216</f>
        <v>0</v>
      </c>
      <c r="AI217" s="1082"/>
      <c r="AJ217" s="910"/>
      <c r="AK217" s="910"/>
      <c r="AL217" s="702">
        <v>36921.51</v>
      </c>
      <c r="AM217" s="702">
        <f t="shared" si="643"/>
        <v>0</v>
      </c>
      <c r="AN217" s="1233"/>
      <c r="AO217" s="695">
        <v>9</v>
      </c>
      <c r="AP217" s="695"/>
      <c r="AQ217" s="698">
        <f t="shared" ref="AQ217:AQ222" si="663">AR217+AV217</f>
        <v>3987523.1</v>
      </c>
      <c r="AR217" s="684">
        <f t="shared" si="596"/>
        <v>3987523.1</v>
      </c>
      <c r="AS217" s="11">
        <f t="shared" si="652"/>
        <v>3802523.1</v>
      </c>
      <c r="AT217" s="11">
        <f t="shared" ref="AT217:AU222" si="664">W217</f>
        <v>0</v>
      </c>
      <c r="AU217" s="11">
        <f t="shared" si="664"/>
        <v>185000</v>
      </c>
      <c r="AV217" s="684">
        <f t="shared" si="587"/>
        <v>0</v>
      </c>
      <c r="AW217" s="11">
        <f t="shared" si="653"/>
        <v>0</v>
      </c>
      <c r="AX217" s="11">
        <f t="shared" si="654"/>
        <v>0</v>
      </c>
      <c r="AY217" s="11">
        <f t="shared" si="654"/>
        <v>0</v>
      </c>
      <c r="AZ217" s="18">
        <f t="shared" ref="AZ217:AZ222" si="665">AX217+AT217</f>
        <v>0</v>
      </c>
      <c r="BA217" s="18">
        <f t="shared" si="655"/>
        <v>185000</v>
      </c>
      <c r="BB217" s="703">
        <f t="shared" ref="BB217:BB222" si="666">AW217+AS217</f>
        <v>3802523.1</v>
      </c>
      <c r="BC217" s="700">
        <f t="shared" ref="BC217:BC222" si="667">ROUND(BB217*1.302,1)</f>
        <v>4950885.0999999996</v>
      </c>
      <c r="BD217" s="700"/>
      <c r="BE217" s="11"/>
      <c r="BF217" s="701"/>
      <c r="BG217" s="11"/>
      <c r="BH217" s="872"/>
    </row>
    <row r="218" spans="1:61">
      <c r="A218" s="11">
        <v>3</v>
      </c>
      <c r="B218" s="704" t="s">
        <v>76</v>
      </c>
      <c r="C218" s="695">
        <v>74.3</v>
      </c>
      <c r="D218" s="695">
        <v>7.3</v>
      </c>
      <c r="E218" s="11">
        <v>20885.7</v>
      </c>
      <c r="F218" s="11">
        <v>1648.8</v>
      </c>
      <c r="G218" s="705">
        <v>23424.97</v>
      </c>
      <c r="H218" s="684">
        <f t="shared" si="656"/>
        <v>20885.7</v>
      </c>
      <c r="I218" s="11">
        <f t="shared" si="645"/>
        <v>19600.7</v>
      </c>
      <c r="J218" s="11">
        <v>0</v>
      </c>
      <c r="K218" s="11">
        <v>1285</v>
      </c>
      <c r="L218" s="545">
        <f t="shared" si="646"/>
        <v>1648.8</v>
      </c>
      <c r="M218" s="11">
        <f t="shared" si="657"/>
        <v>1648.8</v>
      </c>
      <c r="N218" s="11"/>
      <c r="O218" s="861">
        <f t="shared" si="658"/>
        <v>-2.2999999999999972</v>
      </c>
      <c r="P218" s="697">
        <v>72</v>
      </c>
      <c r="Q218" s="695">
        <v>10</v>
      </c>
      <c r="R218" s="705">
        <v>23424.97</v>
      </c>
      <c r="S218" s="696">
        <f>ROUND(F218/D218/12*1000,2)</f>
        <v>18821.919999999998</v>
      </c>
      <c r="T218" s="698">
        <f t="shared" si="659"/>
        <v>22497804.479999997</v>
      </c>
      <c r="U218" s="699">
        <f t="shared" si="660"/>
        <v>20239174.079999998</v>
      </c>
      <c r="V218" s="433">
        <f t="shared" si="647"/>
        <v>18994174.079999998</v>
      </c>
      <c r="W218" s="11"/>
      <c r="X218" s="11">
        <v>1245000</v>
      </c>
      <c r="Y218" s="699">
        <f t="shared" si="648"/>
        <v>2258630.4</v>
      </c>
      <c r="Z218" s="11">
        <f t="shared" si="649"/>
        <v>2258630.4</v>
      </c>
      <c r="AA218" s="11"/>
      <c r="AB218" s="11"/>
      <c r="AC218" s="698">
        <f t="shared" si="661"/>
        <v>22497804.48</v>
      </c>
      <c r="AD218" s="433">
        <f t="shared" si="662"/>
        <v>21252804.48</v>
      </c>
      <c r="AE218" s="11">
        <f t="shared" si="650"/>
        <v>0</v>
      </c>
      <c r="AF218" s="11">
        <f t="shared" si="650"/>
        <v>1245000</v>
      </c>
      <c r="AG218" s="700">
        <f t="shared" si="651"/>
        <v>27671151.43</v>
      </c>
      <c r="AH218" s="11"/>
      <c r="AI218" s="1082"/>
      <c r="AJ218" s="910"/>
      <c r="AK218" s="910"/>
      <c r="AL218" s="706">
        <v>23424.97</v>
      </c>
      <c r="AM218" s="702">
        <f t="shared" si="643"/>
        <v>18821.919999999998</v>
      </c>
      <c r="AN218" s="1233"/>
      <c r="AO218" s="695">
        <v>72</v>
      </c>
      <c r="AP218" s="695">
        <v>10</v>
      </c>
      <c r="AQ218" s="698">
        <f t="shared" si="663"/>
        <v>22497804.5</v>
      </c>
      <c r="AR218" s="684">
        <f t="shared" si="596"/>
        <v>20239174.100000001</v>
      </c>
      <c r="AS218" s="11">
        <f t="shared" si="652"/>
        <v>18994174.100000001</v>
      </c>
      <c r="AT218" s="11">
        <f t="shared" si="664"/>
        <v>0</v>
      </c>
      <c r="AU218" s="11">
        <f t="shared" si="664"/>
        <v>1245000</v>
      </c>
      <c r="AV218" s="684">
        <f t="shared" si="587"/>
        <v>2258630.4</v>
      </c>
      <c r="AW218" s="11">
        <f t="shared" si="653"/>
        <v>2258630.4</v>
      </c>
      <c r="AX218" s="11">
        <f t="shared" si="654"/>
        <v>0</v>
      </c>
      <c r="AY218" s="11">
        <f t="shared" si="654"/>
        <v>0</v>
      </c>
      <c r="AZ218" s="18">
        <f t="shared" si="665"/>
        <v>0</v>
      </c>
      <c r="BA218" s="18">
        <f t="shared" si="655"/>
        <v>1245000</v>
      </c>
      <c r="BB218" s="703">
        <f t="shared" si="666"/>
        <v>21252804.5</v>
      </c>
      <c r="BC218" s="700">
        <f t="shared" si="667"/>
        <v>27671151.5</v>
      </c>
      <c r="BD218" s="700"/>
      <c r="BE218" s="11"/>
      <c r="BF218" s="701"/>
      <c r="BG218" s="11"/>
      <c r="BH218" s="872"/>
    </row>
    <row r="219" spans="1:61">
      <c r="A219" s="11">
        <v>4</v>
      </c>
      <c r="B219" s="704" t="s">
        <v>77</v>
      </c>
      <c r="C219" s="695">
        <v>0.6</v>
      </c>
      <c r="D219" s="695"/>
      <c r="E219" s="11">
        <v>116.7</v>
      </c>
      <c r="F219" s="11"/>
      <c r="G219" s="707">
        <v>16208.33</v>
      </c>
      <c r="H219" s="684">
        <f t="shared" si="656"/>
        <v>116.7</v>
      </c>
      <c r="I219" s="11">
        <f t="shared" si="645"/>
        <v>116.7</v>
      </c>
      <c r="J219" s="11"/>
      <c r="K219" s="11"/>
      <c r="L219" s="545">
        <f t="shared" si="646"/>
        <v>0</v>
      </c>
      <c r="M219" s="11">
        <f t="shared" si="657"/>
        <v>0</v>
      </c>
      <c r="N219" s="11"/>
      <c r="O219" s="861">
        <f t="shared" si="658"/>
        <v>0.4</v>
      </c>
      <c r="P219" s="697">
        <v>1</v>
      </c>
      <c r="Q219" s="695"/>
      <c r="R219" s="707">
        <v>17800</v>
      </c>
      <c r="S219" s="696"/>
      <c r="T219" s="698">
        <f t="shared" si="659"/>
        <v>213600</v>
      </c>
      <c r="U219" s="699">
        <f t="shared" si="660"/>
        <v>213600</v>
      </c>
      <c r="V219" s="433">
        <f t="shared" si="647"/>
        <v>213600</v>
      </c>
      <c r="W219" s="11"/>
      <c r="X219" s="11"/>
      <c r="Y219" s="699">
        <f t="shared" si="648"/>
        <v>0</v>
      </c>
      <c r="Z219" s="11">
        <f t="shared" si="649"/>
        <v>0</v>
      </c>
      <c r="AA219" s="11"/>
      <c r="AB219" s="11"/>
      <c r="AC219" s="698">
        <f t="shared" si="661"/>
        <v>213600</v>
      </c>
      <c r="AD219" s="433">
        <f t="shared" si="662"/>
        <v>213600</v>
      </c>
      <c r="AE219" s="11">
        <f t="shared" si="650"/>
        <v>0</v>
      </c>
      <c r="AF219" s="11">
        <f t="shared" si="650"/>
        <v>0</v>
      </c>
      <c r="AG219" s="700">
        <f t="shared" si="651"/>
        <v>278107.2</v>
      </c>
      <c r="AH219" s="11"/>
      <c r="AI219" s="1082"/>
      <c r="AJ219" s="910"/>
      <c r="AK219" s="910"/>
      <c r="AL219" s="708">
        <v>17800</v>
      </c>
      <c r="AM219" s="702">
        <f t="shared" si="643"/>
        <v>0</v>
      </c>
      <c r="AN219" s="1233"/>
      <c r="AO219" s="695">
        <v>1</v>
      </c>
      <c r="AP219" s="695"/>
      <c r="AQ219" s="698">
        <f t="shared" si="663"/>
        <v>213600</v>
      </c>
      <c r="AR219" s="684">
        <f t="shared" si="596"/>
        <v>213600</v>
      </c>
      <c r="AS219" s="11">
        <f t="shared" si="652"/>
        <v>213600</v>
      </c>
      <c r="AT219" s="11">
        <f t="shared" si="664"/>
        <v>0</v>
      </c>
      <c r="AU219" s="11">
        <f t="shared" si="664"/>
        <v>0</v>
      </c>
      <c r="AV219" s="684">
        <f t="shared" si="587"/>
        <v>0</v>
      </c>
      <c r="AW219" s="11">
        <f t="shared" si="653"/>
        <v>0</v>
      </c>
      <c r="AX219" s="11">
        <f t="shared" si="654"/>
        <v>0</v>
      </c>
      <c r="AY219" s="11">
        <f t="shared" si="654"/>
        <v>0</v>
      </c>
      <c r="AZ219" s="18">
        <f t="shared" si="665"/>
        <v>0</v>
      </c>
      <c r="BA219" s="18">
        <f t="shared" si="655"/>
        <v>0</v>
      </c>
      <c r="BB219" s="703">
        <f t="shared" si="666"/>
        <v>213600</v>
      </c>
      <c r="BC219" s="700">
        <f t="shared" si="667"/>
        <v>278107.2</v>
      </c>
      <c r="BD219" s="700"/>
      <c r="BE219" s="11"/>
      <c r="BF219" s="701"/>
      <c r="BG219" s="11"/>
      <c r="BH219" s="872"/>
    </row>
    <row r="220" spans="1:61">
      <c r="A220" s="11">
        <v>5</v>
      </c>
      <c r="B220" s="694" t="s">
        <v>73</v>
      </c>
      <c r="C220" s="695"/>
      <c r="D220" s="695"/>
      <c r="E220" s="11"/>
      <c r="F220" s="11"/>
      <c r="G220" s="696"/>
      <c r="H220" s="684">
        <f t="shared" si="656"/>
        <v>0</v>
      </c>
      <c r="I220" s="11">
        <f t="shared" si="645"/>
        <v>0</v>
      </c>
      <c r="J220" s="11"/>
      <c r="K220" s="11"/>
      <c r="L220" s="545">
        <f t="shared" si="646"/>
        <v>0</v>
      </c>
      <c r="M220" s="11">
        <f t="shared" si="657"/>
        <v>0</v>
      </c>
      <c r="N220" s="11"/>
      <c r="O220" s="861">
        <f t="shared" si="658"/>
        <v>0</v>
      </c>
      <c r="P220" s="697"/>
      <c r="Q220" s="695"/>
      <c r="R220" s="696"/>
      <c r="S220" s="696"/>
      <c r="T220" s="698">
        <f t="shared" si="659"/>
        <v>0</v>
      </c>
      <c r="U220" s="699">
        <f t="shared" si="660"/>
        <v>0</v>
      </c>
      <c r="V220" s="433">
        <f t="shared" si="647"/>
        <v>0</v>
      </c>
      <c r="W220" s="11"/>
      <c r="X220" s="11"/>
      <c r="Y220" s="699">
        <f t="shared" si="648"/>
        <v>0</v>
      </c>
      <c r="Z220" s="11">
        <f t="shared" si="649"/>
        <v>0</v>
      </c>
      <c r="AA220" s="11"/>
      <c r="AB220" s="11"/>
      <c r="AC220" s="698">
        <f t="shared" si="661"/>
        <v>0</v>
      </c>
      <c r="AD220" s="433">
        <f t="shared" si="662"/>
        <v>0</v>
      </c>
      <c r="AE220" s="11">
        <f t="shared" si="650"/>
        <v>0</v>
      </c>
      <c r="AF220" s="11">
        <f t="shared" si="650"/>
        <v>0</v>
      </c>
      <c r="AG220" s="700">
        <f t="shared" si="651"/>
        <v>0</v>
      </c>
      <c r="AH220" s="11"/>
      <c r="AI220" s="1082"/>
      <c r="AJ220" s="910"/>
      <c r="AK220" s="910"/>
      <c r="AL220" s="702"/>
      <c r="AM220" s="702">
        <f t="shared" si="643"/>
        <v>0</v>
      </c>
      <c r="AN220" s="1233"/>
      <c r="AO220" s="695"/>
      <c r="AP220" s="695"/>
      <c r="AQ220" s="698">
        <f t="shared" si="663"/>
        <v>0</v>
      </c>
      <c r="AR220" s="684">
        <f t="shared" si="596"/>
        <v>0</v>
      </c>
      <c r="AS220" s="11">
        <f t="shared" si="652"/>
        <v>0</v>
      </c>
      <c r="AT220" s="11">
        <f t="shared" si="664"/>
        <v>0</v>
      </c>
      <c r="AU220" s="11">
        <f t="shared" si="664"/>
        <v>0</v>
      </c>
      <c r="AV220" s="684">
        <f t="shared" si="587"/>
        <v>0</v>
      </c>
      <c r="AW220" s="11">
        <f t="shared" si="653"/>
        <v>0</v>
      </c>
      <c r="AX220" s="11">
        <f t="shared" si="654"/>
        <v>0</v>
      </c>
      <c r="AY220" s="11">
        <f t="shared" si="654"/>
        <v>0</v>
      </c>
      <c r="AZ220" s="18">
        <f t="shared" si="665"/>
        <v>0</v>
      </c>
      <c r="BA220" s="18">
        <f t="shared" si="655"/>
        <v>0</v>
      </c>
      <c r="BB220" s="703">
        <f t="shared" si="666"/>
        <v>0</v>
      </c>
      <c r="BC220" s="700">
        <f t="shared" si="667"/>
        <v>0</v>
      </c>
      <c r="BD220" s="700"/>
      <c r="BE220" s="11"/>
      <c r="BF220" s="701"/>
      <c r="BG220" s="11"/>
      <c r="BH220" s="872"/>
    </row>
    <row r="221" spans="1:61">
      <c r="A221" s="11">
        <v>6</v>
      </c>
      <c r="B221" s="694" t="s">
        <v>74</v>
      </c>
      <c r="C221" s="695"/>
      <c r="D221" s="695"/>
      <c r="E221" s="11"/>
      <c r="F221" s="11"/>
      <c r="G221" s="696"/>
      <c r="H221" s="684">
        <f t="shared" si="656"/>
        <v>0</v>
      </c>
      <c r="I221" s="11">
        <f t="shared" si="645"/>
        <v>0</v>
      </c>
      <c r="J221" s="11"/>
      <c r="K221" s="11"/>
      <c r="L221" s="545">
        <f t="shared" si="646"/>
        <v>0</v>
      </c>
      <c r="M221" s="11">
        <f t="shared" si="657"/>
        <v>0</v>
      </c>
      <c r="N221" s="11"/>
      <c r="O221" s="861">
        <f t="shared" si="658"/>
        <v>0</v>
      </c>
      <c r="P221" s="697"/>
      <c r="Q221" s="695"/>
      <c r="R221" s="696"/>
      <c r="S221" s="696"/>
      <c r="T221" s="698">
        <f t="shared" si="659"/>
        <v>0</v>
      </c>
      <c r="U221" s="699">
        <f t="shared" si="660"/>
        <v>0</v>
      </c>
      <c r="V221" s="433">
        <f t="shared" si="647"/>
        <v>0</v>
      </c>
      <c r="W221" s="11"/>
      <c r="X221" s="11"/>
      <c r="Y221" s="699">
        <f t="shared" si="648"/>
        <v>0</v>
      </c>
      <c r="Z221" s="11">
        <f t="shared" si="649"/>
        <v>0</v>
      </c>
      <c r="AA221" s="11"/>
      <c r="AB221" s="11"/>
      <c r="AC221" s="698">
        <f t="shared" si="661"/>
        <v>0</v>
      </c>
      <c r="AD221" s="433">
        <f t="shared" si="662"/>
        <v>0</v>
      </c>
      <c r="AE221" s="11">
        <f t="shared" si="650"/>
        <v>0</v>
      </c>
      <c r="AF221" s="11">
        <f t="shared" si="650"/>
        <v>0</v>
      </c>
      <c r="AG221" s="700">
        <f t="shared" si="651"/>
        <v>0</v>
      </c>
      <c r="AH221" s="11"/>
      <c r="AI221" s="1082"/>
      <c r="AJ221" s="910"/>
      <c r="AK221" s="910"/>
      <c r="AL221" s="702"/>
      <c r="AM221" s="702">
        <f t="shared" si="643"/>
        <v>0</v>
      </c>
      <c r="AN221" s="1233"/>
      <c r="AO221" s="695"/>
      <c r="AP221" s="695"/>
      <c r="AQ221" s="698">
        <f t="shared" si="663"/>
        <v>0</v>
      </c>
      <c r="AR221" s="684">
        <f t="shared" si="596"/>
        <v>0</v>
      </c>
      <c r="AS221" s="11">
        <f t="shared" si="652"/>
        <v>0</v>
      </c>
      <c r="AT221" s="11">
        <f t="shared" si="664"/>
        <v>0</v>
      </c>
      <c r="AU221" s="11">
        <f t="shared" si="664"/>
        <v>0</v>
      </c>
      <c r="AV221" s="684">
        <f t="shared" si="587"/>
        <v>0</v>
      </c>
      <c r="AW221" s="11">
        <f t="shared" si="653"/>
        <v>0</v>
      </c>
      <c r="AX221" s="11">
        <f t="shared" si="654"/>
        <v>0</v>
      </c>
      <c r="AY221" s="11">
        <f t="shared" si="654"/>
        <v>0</v>
      </c>
      <c r="AZ221" s="18">
        <f t="shared" si="665"/>
        <v>0</v>
      </c>
      <c r="BA221" s="18">
        <f t="shared" si="655"/>
        <v>0</v>
      </c>
      <c r="BB221" s="703">
        <f t="shared" si="666"/>
        <v>0</v>
      </c>
      <c r="BC221" s="700">
        <f t="shared" si="667"/>
        <v>0</v>
      </c>
      <c r="BD221" s="700"/>
      <c r="BE221" s="11"/>
      <c r="BF221" s="701"/>
      <c r="BG221" s="11"/>
      <c r="BH221" s="872"/>
    </row>
    <row r="222" spans="1:61">
      <c r="A222" s="11">
        <v>7</v>
      </c>
      <c r="B222" s="1131" t="s">
        <v>814</v>
      </c>
      <c r="C222" s="695">
        <v>67.099999999999994</v>
      </c>
      <c r="D222" s="695">
        <v>2.5</v>
      </c>
      <c r="E222" s="11">
        <v>8391.7000000000007</v>
      </c>
      <c r="F222" s="11">
        <v>246.6</v>
      </c>
      <c r="G222" s="696">
        <v>10421.879999999999</v>
      </c>
      <c r="H222" s="684">
        <f t="shared" si="656"/>
        <v>8391.7000000000007</v>
      </c>
      <c r="I222" s="11">
        <f t="shared" si="645"/>
        <v>8391.7000000000007</v>
      </c>
      <c r="J222" s="11">
        <v>0</v>
      </c>
      <c r="K222" s="11"/>
      <c r="L222" s="545">
        <f t="shared" si="646"/>
        <v>246.6</v>
      </c>
      <c r="M222" s="11">
        <f t="shared" si="657"/>
        <v>246.6</v>
      </c>
      <c r="N222" s="11"/>
      <c r="O222" s="861">
        <f t="shared" si="658"/>
        <v>-9.9999999999994316E-2</v>
      </c>
      <c r="P222" s="697">
        <v>67</v>
      </c>
      <c r="Q222" s="695">
        <v>5</v>
      </c>
      <c r="R222" s="696">
        <v>10421.879999999999</v>
      </c>
      <c r="S222" s="696">
        <f>ROUND(F222/D222/12*1000,2)</f>
        <v>8220</v>
      </c>
      <c r="T222" s="698">
        <f t="shared" si="659"/>
        <v>8872391.5199999996</v>
      </c>
      <c r="U222" s="699">
        <f t="shared" si="660"/>
        <v>8379191.5199999996</v>
      </c>
      <c r="V222" s="433">
        <f t="shared" si="647"/>
        <v>8379191.5199999996</v>
      </c>
      <c r="W222" s="11"/>
      <c r="X222" s="11"/>
      <c r="Y222" s="699">
        <f t="shared" si="648"/>
        <v>493200</v>
      </c>
      <c r="Z222" s="11">
        <f t="shared" si="649"/>
        <v>493200</v>
      </c>
      <c r="AA222" s="11"/>
      <c r="AB222" s="11"/>
      <c r="AC222" s="698">
        <f t="shared" si="661"/>
        <v>8872391.5199999996</v>
      </c>
      <c r="AD222" s="433">
        <f t="shared" si="662"/>
        <v>8872391.5199999996</v>
      </c>
      <c r="AE222" s="11">
        <f t="shared" si="650"/>
        <v>0</v>
      </c>
      <c r="AF222" s="11">
        <f t="shared" si="650"/>
        <v>0</v>
      </c>
      <c r="AG222" s="700">
        <f t="shared" si="651"/>
        <v>11551853.76</v>
      </c>
      <c r="AH222" s="11"/>
      <c r="AI222" s="1082"/>
      <c r="AJ222" s="910"/>
      <c r="AK222" s="910"/>
      <c r="AL222" s="702">
        <v>10421.879999999999</v>
      </c>
      <c r="AM222" s="702">
        <f t="shared" si="643"/>
        <v>8220</v>
      </c>
      <c r="AN222" s="1233"/>
      <c r="AO222" s="695">
        <v>67</v>
      </c>
      <c r="AP222" s="695">
        <v>5</v>
      </c>
      <c r="AQ222" s="698">
        <f t="shared" si="663"/>
        <v>8872391.5</v>
      </c>
      <c r="AR222" s="684">
        <f t="shared" si="596"/>
        <v>8379191.5</v>
      </c>
      <c r="AS222" s="11">
        <f t="shared" si="652"/>
        <v>8379191.5</v>
      </c>
      <c r="AT222" s="11">
        <f t="shared" si="664"/>
        <v>0</v>
      </c>
      <c r="AU222" s="11">
        <f t="shared" si="664"/>
        <v>0</v>
      </c>
      <c r="AV222" s="684">
        <f t="shared" si="587"/>
        <v>493200</v>
      </c>
      <c r="AW222" s="11">
        <f t="shared" si="653"/>
        <v>493200</v>
      </c>
      <c r="AX222" s="11">
        <f t="shared" si="654"/>
        <v>0</v>
      </c>
      <c r="AY222" s="11">
        <f t="shared" si="654"/>
        <v>0</v>
      </c>
      <c r="AZ222" s="18">
        <f t="shared" si="665"/>
        <v>0</v>
      </c>
      <c r="BA222" s="18">
        <f t="shared" si="655"/>
        <v>0</v>
      </c>
      <c r="BB222" s="703">
        <f t="shared" si="666"/>
        <v>8872391.5</v>
      </c>
      <c r="BC222" s="700">
        <f t="shared" si="667"/>
        <v>11551853.699999999</v>
      </c>
      <c r="BD222" s="700"/>
      <c r="BE222" s="11"/>
      <c r="BF222" s="701"/>
      <c r="BG222" s="11"/>
      <c r="BH222" s="872"/>
    </row>
    <row r="223" spans="1:61">
      <c r="A223" s="11"/>
      <c r="B223" s="1132" t="s">
        <v>815</v>
      </c>
      <c r="C223" s="695"/>
      <c r="D223" s="695"/>
      <c r="E223" s="11"/>
      <c r="F223" s="11"/>
      <c r="G223" s="696"/>
      <c r="H223" s="684"/>
      <c r="I223" s="11"/>
      <c r="J223" s="11"/>
      <c r="K223" s="11"/>
      <c r="L223" s="545"/>
      <c r="M223" s="11"/>
      <c r="N223" s="11"/>
      <c r="O223" s="861"/>
      <c r="P223" s="697"/>
      <c r="Q223" s="695"/>
      <c r="R223" s="696"/>
      <c r="S223" s="696"/>
      <c r="T223" s="698"/>
      <c r="U223" s="699"/>
      <c r="V223" s="433"/>
      <c r="W223" s="11"/>
      <c r="X223" s="11"/>
      <c r="Y223" s="699"/>
      <c r="Z223" s="11"/>
      <c r="AA223" s="11"/>
      <c r="AB223" s="11"/>
      <c r="AC223" s="698"/>
      <c r="AD223" s="433"/>
      <c r="AE223" s="11"/>
      <c r="AF223" s="11"/>
      <c r="AG223" s="700"/>
      <c r="AH223" s="11"/>
      <c r="AI223" s="1082"/>
      <c r="AJ223" s="910"/>
      <c r="AK223" s="910"/>
      <c r="AL223" s="702"/>
      <c r="AM223" s="702"/>
      <c r="AN223" s="1233">
        <f>AO223-P223</f>
        <v>0</v>
      </c>
      <c r="AO223" s="695"/>
      <c r="AP223" s="695"/>
      <c r="AQ223" s="698"/>
      <c r="AR223" s="684"/>
      <c r="AS223" s="11"/>
      <c r="AT223" s="11"/>
      <c r="AU223" s="11"/>
      <c r="AV223" s="684"/>
      <c r="AW223" s="11"/>
      <c r="AX223" s="11"/>
      <c r="AY223" s="11"/>
      <c r="AZ223" s="18"/>
      <c r="BA223" s="18"/>
      <c r="BB223" s="703"/>
      <c r="BC223" s="700"/>
      <c r="BD223" s="700"/>
      <c r="BE223" s="1045"/>
      <c r="BF223" s="701"/>
      <c r="BG223" s="1045"/>
      <c r="BH223" s="872"/>
    </row>
    <row r="224" spans="1:61" ht="19.149999999999999" customHeight="1">
      <c r="A224" s="684">
        <v>24</v>
      </c>
      <c r="B224" s="685" t="s">
        <v>278</v>
      </c>
      <c r="C224" s="684">
        <f>C225+C226+C227+C228+C229+C230+C231</f>
        <v>419.6</v>
      </c>
      <c r="D224" s="684">
        <f>D225+D226+D227+D228+D229+D230+D231</f>
        <v>0</v>
      </c>
      <c r="E224" s="684">
        <f>SUM(E225:E231)</f>
        <v>88130.900000000009</v>
      </c>
      <c r="F224" s="684">
        <f t="shared" ref="F224:AG224" si="668">F225+F226+F227+F228+F229+F230+F231</f>
        <v>0</v>
      </c>
      <c r="G224" s="686">
        <v>17502.96</v>
      </c>
      <c r="H224" s="684">
        <f t="shared" si="668"/>
        <v>88130.900000000009</v>
      </c>
      <c r="I224" s="684">
        <f t="shared" si="668"/>
        <v>86210.900000000009</v>
      </c>
      <c r="J224" s="684">
        <f t="shared" si="668"/>
        <v>0</v>
      </c>
      <c r="K224" s="684">
        <f t="shared" si="668"/>
        <v>1920</v>
      </c>
      <c r="L224" s="684">
        <f t="shared" si="668"/>
        <v>0</v>
      </c>
      <c r="M224" s="684">
        <f t="shared" si="668"/>
        <v>0</v>
      </c>
      <c r="N224" s="684">
        <f t="shared" si="668"/>
        <v>0</v>
      </c>
      <c r="O224" s="687">
        <f t="shared" si="668"/>
        <v>0.59999999999998277</v>
      </c>
      <c r="P224" s="688">
        <f t="shared" si="668"/>
        <v>420.2</v>
      </c>
      <c r="Q224" s="684">
        <f t="shared" si="668"/>
        <v>0</v>
      </c>
      <c r="R224" s="686">
        <v>17502.96</v>
      </c>
      <c r="S224" s="686"/>
      <c r="T224" s="689">
        <f>SUM(T225:T231)</f>
        <v>0</v>
      </c>
      <c r="U224" s="684">
        <f t="shared" ref="U224:AB224" si="669">U225+U226+U227+U228+U229+U230+U231</f>
        <v>87935598.049999997</v>
      </c>
      <c r="V224" s="684">
        <f t="shared" si="669"/>
        <v>86015598.049999997</v>
      </c>
      <c r="W224" s="684">
        <f t="shared" si="669"/>
        <v>0</v>
      </c>
      <c r="X224" s="684">
        <f t="shared" si="669"/>
        <v>1920000</v>
      </c>
      <c r="Y224" s="684">
        <f t="shared" si="669"/>
        <v>0</v>
      </c>
      <c r="Z224" s="684">
        <f t="shared" si="669"/>
        <v>0</v>
      </c>
      <c r="AA224" s="684">
        <f t="shared" si="669"/>
        <v>0</v>
      </c>
      <c r="AB224" s="684">
        <f t="shared" si="669"/>
        <v>0</v>
      </c>
      <c r="AC224" s="684">
        <f t="shared" si="668"/>
        <v>87935598.049999997</v>
      </c>
      <c r="AD224" s="684">
        <f t="shared" si="668"/>
        <v>86015598.049999997</v>
      </c>
      <c r="AE224" s="684">
        <f t="shared" si="668"/>
        <v>0</v>
      </c>
      <c r="AF224" s="684">
        <f t="shared" si="668"/>
        <v>1920000</v>
      </c>
      <c r="AG224" s="684">
        <f t="shared" si="668"/>
        <v>111992308.66000001</v>
      </c>
      <c r="AH224" s="686">
        <v>4376259</v>
      </c>
      <c r="AI224" s="1091">
        <v>116368569</v>
      </c>
      <c r="AJ224" s="765">
        <f>AH224+AG224</f>
        <v>116368567.66000001</v>
      </c>
      <c r="AK224" s="876">
        <f>AJ224-AI224</f>
        <v>-1.3399999886751175</v>
      </c>
      <c r="AL224" s="692">
        <v>17502.96</v>
      </c>
      <c r="AM224" s="692">
        <f t="shared" si="643"/>
        <v>0</v>
      </c>
      <c r="AN224" s="684">
        <f>AN225+AN226+AN227+AN228+AN229+AN230+AN231</f>
        <v>-1</v>
      </c>
      <c r="AO224" s="684">
        <f>AO225+AO226+AO227+AO228+AO229+AO230+AO231</f>
        <v>419.2</v>
      </c>
      <c r="AP224" s="684">
        <f t="shared" ref="AP224:BC224" si="670">AP225+AP226+AP227+AP228+AP229+AP230+AP231</f>
        <v>0</v>
      </c>
      <c r="AQ224" s="689">
        <f>SUM(AQ225:AQ231)</f>
        <v>0</v>
      </c>
      <c r="AR224" s="684">
        <f t="shared" si="596"/>
        <v>88046890</v>
      </c>
      <c r="AS224" s="684">
        <f t="shared" si="670"/>
        <v>85537.9</v>
      </c>
      <c r="AT224" s="684">
        <f t="shared" si="670"/>
        <v>0</v>
      </c>
      <c r="AU224" s="684">
        <v>1920000</v>
      </c>
      <c r="AV224" s="684">
        <f t="shared" si="587"/>
        <v>0</v>
      </c>
      <c r="AW224" s="684">
        <f>AW225+AW226+AW227+AW228+AW229+AW230+AW231</f>
        <v>0</v>
      </c>
      <c r="AX224" s="684">
        <f t="shared" si="670"/>
        <v>0</v>
      </c>
      <c r="AY224" s="684">
        <f t="shared" si="670"/>
        <v>0</v>
      </c>
      <c r="AZ224" s="684">
        <f t="shared" si="670"/>
        <v>0</v>
      </c>
      <c r="BA224" s="684">
        <f t="shared" si="670"/>
        <v>1920000</v>
      </c>
      <c r="BB224" s="684">
        <f t="shared" si="670"/>
        <v>85537.9</v>
      </c>
      <c r="BC224" s="684">
        <f t="shared" si="670"/>
        <v>111370.3</v>
      </c>
      <c r="BD224" s="686">
        <v>4376259</v>
      </c>
      <c r="BE224" s="693">
        <v>115746559</v>
      </c>
      <c r="BF224" s="691">
        <v>116368599</v>
      </c>
      <c r="BG224" s="768">
        <f>BE224-BF224</f>
        <v>-622040</v>
      </c>
      <c r="BH224" s="876">
        <f>AG224+AH224</f>
        <v>116368567.66000001</v>
      </c>
      <c r="BI224" s="876">
        <f>BH224-AI224</f>
        <v>-1.3399999886751175</v>
      </c>
    </row>
    <row r="225" spans="1:61">
      <c r="A225" s="11">
        <v>1</v>
      </c>
      <c r="B225" s="694" t="s">
        <v>71</v>
      </c>
      <c r="C225" s="695">
        <v>7</v>
      </c>
      <c r="D225" s="695"/>
      <c r="E225" s="11">
        <v>3344.9</v>
      </c>
      <c r="F225" s="11"/>
      <c r="G225" s="696">
        <v>39820.239999999998</v>
      </c>
      <c r="H225" s="684">
        <f>I225+J225+K225</f>
        <v>3344.9</v>
      </c>
      <c r="I225" s="11">
        <f t="shared" ref="I225:I231" si="671">E225-K225-J225</f>
        <v>3305.5</v>
      </c>
      <c r="J225" s="11">
        <v>0</v>
      </c>
      <c r="K225" s="11">
        <v>39.4</v>
      </c>
      <c r="L225" s="545">
        <f t="shared" ref="L225:L231" si="672">M225+N225</f>
        <v>0</v>
      </c>
      <c r="M225" s="11">
        <f>F225-N225</f>
        <v>0</v>
      </c>
      <c r="N225" s="11"/>
      <c r="O225" s="861">
        <f>P225-C225</f>
        <v>0</v>
      </c>
      <c r="P225" s="697">
        <v>7</v>
      </c>
      <c r="Q225" s="695">
        <v>0</v>
      </c>
      <c r="R225" s="696">
        <v>39820.239999999998</v>
      </c>
      <c r="S225" s="696"/>
      <c r="T225" s="698"/>
      <c r="U225" s="699">
        <f>ROUND(R225*P225*12,2)</f>
        <v>3344900.16</v>
      </c>
      <c r="V225" s="433">
        <f t="shared" ref="V225:V231" si="673">U225-W225-X225</f>
        <v>3282700.16</v>
      </c>
      <c r="W225" s="11">
        <v>0</v>
      </c>
      <c r="X225" s="11">
        <f>62.2*1000</f>
        <v>62200</v>
      </c>
      <c r="Y225" s="699">
        <v>0</v>
      </c>
      <c r="Z225" s="11">
        <f t="shared" ref="Z225:Z231" si="674">Y225-AA225-AB225</f>
        <v>0</v>
      </c>
      <c r="AA225" s="11">
        <v>0</v>
      </c>
      <c r="AB225" s="11">
        <v>0</v>
      </c>
      <c r="AC225" s="698">
        <f t="shared" ref="AC225:AC231" si="675">AD225+AE225+AF225</f>
        <v>3344900.16</v>
      </c>
      <c r="AD225" s="433">
        <f t="shared" ref="AD225:AD231" si="676">ROUND((Z225+V225),2)</f>
        <v>3282700.16</v>
      </c>
      <c r="AE225" s="11">
        <f t="shared" ref="AE225:AF231" si="677">AA225+W225</f>
        <v>0</v>
      </c>
      <c r="AF225" s="11">
        <f t="shared" si="677"/>
        <v>62200</v>
      </c>
      <c r="AG225" s="700">
        <f t="shared" ref="AG225:AG231" si="678">ROUND(AD225*1.302,2)</f>
        <v>4274075.6100000003</v>
      </c>
      <c r="AH225" s="11"/>
      <c r="AI225" s="1082"/>
      <c r="AJ225" s="910"/>
      <c r="AK225" s="910"/>
      <c r="AL225" s="702">
        <v>39822.22</v>
      </c>
      <c r="AM225" s="702">
        <f t="shared" si="643"/>
        <v>0</v>
      </c>
      <c r="AN225" s="1233">
        <f>AO225-P225</f>
        <v>-1</v>
      </c>
      <c r="AO225" s="695">
        <v>6</v>
      </c>
      <c r="AP225" s="695">
        <v>0</v>
      </c>
      <c r="AQ225" s="698"/>
      <c r="AR225" s="684">
        <v>2867.2</v>
      </c>
      <c r="AS225" s="11">
        <v>2805</v>
      </c>
      <c r="AT225" s="11">
        <f>W225</f>
        <v>0</v>
      </c>
      <c r="AU225" s="11">
        <f t="shared" ref="AU225:AU231" si="679">X225</f>
        <v>62200</v>
      </c>
      <c r="AV225" s="684">
        <f t="shared" si="587"/>
        <v>0</v>
      </c>
      <c r="AW225" s="11">
        <f t="shared" ref="AW225:AW231" si="680">AV225-AX225-AY225</f>
        <v>0</v>
      </c>
      <c r="AX225" s="11">
        <f t="shared" ref="AX225:AY231" si="681">AA225</f>
        <v>0</v>
      </c>
      <c r="AY225" s="11">
        <f t="shared" si="681"/>
        <v>0</v>
      </c>
      <c r="AZ225" s="18">
        <f>AX225+AT225</f>
        <v>0</v>
      </c>
      <c r="BA225" s="18">
        <f t="shared" ref="BA225:BA231" si="682">AY225+AU225</f>
        <v>62200</v>
      </c>
      <c r="BB225" s="703">
        <f>AW225+AS225</f>
        <v>2805</v>
      </c>
      <c r="BC225" s="700">
        <f>ROUND(BB225*1.302,1)</f>
        <v>3652.1</v>
      </c>
      <c r="BD225" s="700"/>
      <c r="BE225" s="11"/>
      <c r="BF225" s="701"/>
      <c r="BG225" s="11"/>
      <c r="BH225" s="872"/>
    </row>
    <row r="226" spans="1:61">
      <c r="A226" s="11">
        <v>2</v>
      </c>
      <c r="B226" s="694" t="s">
        <v>72</v>
      </c>
      <c r="C226" s="695">
        <v>18</v>
      </c>
      <c r="D226" s="695">
        <v>0</v>
      </c>
      <c r="E226" s="11">
        <v>7244</v>
      </c>
      <c r="F226" s="11"/>
      <c r="G226" s="696">
        <v>33537.040000000001</v>
      </c>
      <c r="H226" s="684">
        <f t="shared" ref="H226:H231" si="683">I226+J226+K226</f>
        <v>7244</v>
      </c>
      <c r="I226" s="11">
        <f t="shared" si="671"/>
        <v>7183.4</v>
      </c>
      <c r="J226" s="11">
        <v>0</v>
      </c>
      <c r="K226" s="11">
        <v>60.6</v>
      </c>
      <c r="L226" s="545">
        <f t="shared" si="672"/>
        <v>0</v>
      </c>
      <c r="M226" s="11">
        <f t="shared" ref="M226:M231" si="684">F226-N226</f>
        <v>0</v>
      </c>
      <c r="N226" s="11"/>
      <c r="O226" s="861">
        <f t="shared" ref="O226:O231" si="685">P226-C226</f>
        <v>2</v>
      </c>
      <c r="P226" s="697">
        <v>20</v>
      </c>
      <c r="Q226" s="695"/>
      <c r="R226" s="696">
        <v>33537.08</v>
      </c>
      <c r="S226" s="696"/>
      <c r="T226" s="698"/>
      <c r="U226" s="699">
        <f t="shared" ref="U226:U231" si="686">ROUND(R226*P226*12,2)</f>
        <v>8048899.2000000002</v>
      </c>
      <c r="V226" s="433">
        <f t="shared" si="673"/>
        <v>7937399.2000000002</v>
      </c>
      <c r="W226" s="11">
        <v>0</v>
      </c>
      <c r="X226" s="11">
        <f>111.5*1000</f>
        <v>111500</v>
      </c>
      <c r="Y226" s="699"/>
      <c r="Z226" s="11">
        <f t="shared" si="674"/>
        <v>0</v>
      </c>
      <c r="AA226" s="11"/>
      <c r="AB226" s="11"/>
      <c r="AC226" s="698">
        <f t="shared" si="675"/>
        <v>8048899.2000000002</v>
      </c>
      <c r="AD226" s="433">
        <f t="shared" si="676"/>
        <v>7937399.2000000002</v>
      </c>
      <c r="AE226" s="11">
        <f t="shared" si="677"/>
        <v>0</v>
      </c>
      <c r="AF226" s="11">
        <f t="shared" si="677"/>
        <v>111500</v>
      </c>
      <c r="AG226" s="700">
        <f t="shared" si="678"/>
        <v>10334493.76</v>
      </c>
      <c r="AH226" s="11"/>
      <c r="AI226" s="1082"/>
      <c r="AJ226" s="910"/>
      <c r="AK226" s="910"/>
      <c r="AL226" s="702">
        <v>33537.08</v>
      </c>
      <c r="AM226" s="702">
        <f t="shared" si="643"/>
        <v>0</v>
      </c>
      <c r="AN226" s="1233"/>
      <c r="AO226" s="695">
        <v>20</v>
      </c>
      <c r="AP226" s="695">
        <v>0</v>
      </c>
      <c r="AQ226" s="698"/>
      <c r="AR226" s="684">
        <v>8048.9</v>
      </c>
      <c r="AS226" s="11">
        <v>7937.4</v>
      </c>
      <c r="AT226" s="11">
        <f t="shared" ref="AT226:AT231" si="687">W226</f>
        <v>0</v>
      </c>
      <c r="AU226" s="11">
        <f t="shared" si="679"/>
        <v>111500</v>
      </c>
      <c r="AV226" s="684">
        <f t="shared" si="587"/>
        <v>0</v>
      </c>
      <c r="AW226" s="11">
        <f t="shared" si="680"/>
        <v>0</v>
      </c>
      <c r="AX226" s="11">
        <f t="shared" si="681"/>
        <v>0</v>
      </c>
      <c r="AY226" s="11">
        <f t="shared" si="681"/>
        <v>0</v>
      </c>
      <c r="AZ226" s="18">
        <f t="shared" ref="AZ226:AZ231" si="688">AX226+AT226</f>
        <v>0</v>
      </c>
      <c r="BA226" s="18">
        <f t="shared" si="682"/>
        <v>111500</v>
      </c>
      <c r="BB226" s="703">
        <f t="shared" ref="BB226:BB231" si="689">AW226+AS226</f>
        <v>7937.4</v>
      </c>
      <c r="BC226" s="700">
        <f t="shared" ref="BC226:BC231" si="690">ROUND(BB226*1.302,1)</f>
        <v>10334.5</v>
      </c>
      <c r="BD226" s="700"/>
      <c r="BE226" s="11"/>
      <c r="BF226" s="701"/>
      <c r="BG226" s="11"/>
      <c r="BH226" s="872"/>
    </row>
    <row r="227" spans="1:61">
      <c r="A227" s="11">
        <v>3</v>
      </c>
      <c r="B227" s="704" t="s">
        <v>76</v>
      </c>
      <c r="C227" s="695">
        <v>208.8</v>
      </c>
      <c r="D227" s="695">
        <v>0</v>
      </c>
      <c r="E227" s="11">
        <v>53885</v>
      </c>
      <c r="F227" s="11">
        <v>0</v>
      </c>
      <c r="G227" s="705">
        <v>21505.83</v>
      </c>
      <c r="H227" s="684">
        <f t="shared" si="683"/>
        <v>53885</v>
      </c>
      <c r="I227" s="11">
        <f t="shared" si="671"/>
        <v>52065</v>
      </c>
      <c r="J227" s="11">
        <v>0</v>
      </c>
      <c r="K227" s="11">
        <v>1820</v>
      </c>
      <c r="L227" s="545">
        <f t="shared" si="672"/>
        <v>0</v>
      </c>
      <c r="M227" s="11">
        <f t="shared" si="684"/>
        <v>0</v>
      </c>
      <c r="N227" s="11"/>
      <c r="O227" s="861">
        <f t="shared" si="685"/>
        <v>-6.8000000000000114</v>
      </c>
      <c r="P227" s="697">
        <v>202</v>
      </c>
      <c r="Q227" s="695"/>
      <c r="R227" s="705">
        <v>21505.86</v>
      </c>
      <c r="S227" s="696"/>
      <c r="T227" s="698"/>
      <c r="U227" s="699">
        <f t="shared" si="686"/>
        <v>52130204.640000001</v>
      </c>
      <c r="V227" s="433">
        <f t="shared" si="673"/>
        <v>50383904.640000001</v>
      </c>
      <c r="W227" s="11">
        <v>0</v>
      </c>
      <c r="X227" s="11">
        <f>1746.3*1000</f>
        <v>1746300</v>
      </c>
      <c r="Y227" s="699"/>
      <c r="Z227" s="11">
        <f t="shared" si="674"/>
        <v>0</v>
      </c>
      <c r="AA227" s="11"/>
      <c r="AB227" s="11"/>
      <c r="AC227" s="698">
        <f t="shared" si="675"/>
        <v>52130204.640000001</v>
      </c>
      <c r="AD227" s="433">
        <f t="shared" si="676"/>
        <v>50383904.640000001</v>
      </c>
      <c r="AE227" s="11">
        <f t="shared" si="677"/>
        <v>0</v>
      </c>
      <c r="AF227" s="11">
        <f t="shared" si="677"/>
        <v>1746300</v>
      </c>
      <c r="AG227" s="700">
        <f t="shared" si="678"/>
        <v>65599843.840000004</v>
      </c>
      <c r="AH227" s="11"/>
      <c r="AI227" s="1082"/>
      <c r="AJ227" s="910"/>
      <c r="AK227" s="910"/>
      <c r="AL227" s="706">
        <v>21505.86</v>
      </c>
      <c r="AM227" s="702">
        <f t="shared" si="643"/>
        <v>0</v>
      </c>
      <c r="AN227" s="1233"/>
      <c r="AO227" s="695">
        <v>202</v>
      </c>
      <c r="AP227" s="695">
        <v>0</v>
      </c>
      <c r="AQ227" s="698"/>
      <c r="AR227" s="684">
        <v>52130.2</v>
      </c>
      <c r="AS227" s="11">
        <v>50383.9</v>
      </c>
      <c r="AT227" s="11">
        <f t="shared" si="687"/>
        <v>0</v>
      </c>
      <c r="AU227" s="11">
        <f t="shared" si="679"/>
        <v>1746300</v>
      </c>
      <c r="AV227" s="684">
        <f t="shared" si="587"/>
        <v>0</v>
      </c>
      <c r="AW227" s="11">
        <f t="shared" si="680"/>
        <v>0</v>
      </c>
      <c r="AX227" s="11">
        <f t="shared" si="681"/>
        <v>0</v>
      </c>
      <c r="AY227" s="11">
        <f t="shared" si="681"/>
        <v>0</v>
      </c>
      <c r="AZ227" s="18">
        <f t="shared" si="688"/>
        <v>0</v>
      </c>
      <c r="BA227" s="18">
        <f t="shared" si="682"/>
        <v>1746300</v>
      </c>
      <c r="BB227" s="703">
        <f t="shared" si="689"/>
        <v>50383.9</v>
      </c>
      <c r="BC227" s="700">
        <f t="shared" si="690"/>
        <v>65599.8</v>
      </c>
      <c r="BD227" s="700"/>
      <c r="BE227" s="11"/>
      <c r="BF227" s="701"/>
      <c r="BG227" s="11"/>
      <c r="BH227" s="872"/>
    </row>
    <row r="228" spans="1:61">
      <c r="A228" s="11">
        <v>4</v>
      </c>
      <c r="B228" s="704" t="s">
        <v>77</v>
      </c>
      <c r="C228" s="695">
        <v>2.2000000000000002</v>
      </c>
      <c r="D228" s="695"/>
      <c r="E228" s="11">
        <v>477.8</v>
      </c>
      <c r="F228" s="11"/>
      <c r="G228" s="707">
        <v>18098.48</v>
      </c>
      <c r="H228" s="684">
        <f t="shared" si="683"/>
        <v>477.8</v>
      </c>
      <c r="I228" s="11">
        <f t="shared" si="671"/>
        <v>477.8</v>
      </c>
      <c r="J228" s="11"/>
      <c r="K228" s="11"/>
      <c r="L228" s="545">
        <f t="shared" si="672"/>
        <v>0</v>
      </c>
      <c r="M228" s="11">
        <f t="shared" si="684"/>
        <v>0</v>
      </c>
      <c r="N228" s="11"/>
      <c r="O228" s="861">
        <f t="shared" si="685"/>
        <v>0.79999999999999982</v>
      </c>
      <c r="P228" s="697">
        <v>3</v>
      </c>
      <c r="Q228" s="695"/>
      <c r="R228" s="707">
        <v>18100</v>
      </c>
      <c r="S228" s="696"/>
      <c r="T228" s="698"/>
      <c r="U228" s="699">
        <f t="shared" si="686"/>
        <v>651600</v>
      </c>
      <c r="V228" s="433">
        <f t="shared" si="673"/>
        <v>651600</v>
      </c>
      <c r="W228" s="11">
        <v>0</v>
      </c>
      <c r="X228" s="11">
        <v>0</v>
      </c>
      <c r="Y228" s="699"/>
      <c r="Z228" s="11">
        <f t="shared" si="674"/>
        <v>0</v>
      </c>
      <c r="AA228" s="11"/>
      <c r="AB228" s="11"/>
      <c r="AC228" s="698">
        <f t="shared" si="675"/>
        <v>651600</v>
      </c>
      <c r="AD228" s="433">
        <f t="shared" si="676"/>
        <v>651600</v>
      </c>
      <c r="AE228" s="11">
        <f t="shared" si="677"/>
        <v>0</v>
      </c>
      <c r="AF228" s="11">
        <f t="shared" si="677"/>
        <v>0</v>
      </c>
      <c r="AG228" s="700">
        <f t="shared" si="678"/>
        <v>848383.2</v>
      </c>
      <c r="AH228" s="11"/>
      <c r="AI228" s="1082"/>
      <c r="AJ228" s="910"/>
      <c r="AK228" s="910"/>
      <c r="AL228" s="708">
        <v>18100</v>
      </c>
      <c r="AM228" s="702">
        <f t="shared" si="643"/>
        <v>0</v>
      </c>
      <c r="AN228" s="1233"/>
      <c r="AO228" s="695">
        <v>3</v>
      </c>
      <c r="AP228" s="695">
        <v>0</v>
      </c>
      <c r="AQ228" s="698"/>
      <c r="AR228" s="684">
        <v>651.6</v>
      </c>
      <c r="AS228" s="11">
        <v>651.6</v>
      </c>
      <c r="AT228" s="11">
        <f t="shared" si="687"/>
        <v>0</v>
      </c>
      <c r="AU228" s="11">
        <f t="shared" si="679"/>
        <v>0</v>
      </c>
      <c r="AV228" s="684">
        <f t="shared" si="587"/>
        <v>0</v>
      </c>
      <c r="AW228" s="11">
        <f t="shared" si="680"/>
        <v>0</v>
      </c>
      <c r="AX228" s="11">
        <f t="shared" si="681"/>
        <v>0</v>
      </c>
      <c r="AY228" s="11">
        <f t="shared" si="681"/>
        <v>0</v>
      </c>
      <c r="AZ228" s="18">
        <f t="shared" si="688"/>
        <v>0</v>
      </c>
      <c r="BA228" s="18">
        <f t="shared" si="682"/>
        <v>0</v>
      </c>
      <c r="BB228" s="703">
        <f t="shared" si="689"/>
        <v>651.6</v>
      </c>
      <c r="BC228" s="700">
        <f t="shared" si="690"/>
        <v>848.4</v>
      </c>
      <c r="BD228" s="700"/>
      <c r="BE228" s="11"/>
      <c r="BF228" s="701"/>
      <c r="BG228" s="11"/>
      <c r="BH228" s="872"/>
    </row>
    <row r="229" spans="1:61">
      <c r="A229" s="11">
        <v>5</v>
      </c>
      <c r="B229" s="694" t="s">
        <v>73</v>
      </c>
      <c r="C229" s="695"/>
      <c r="D229" s="695"/>
      <c r="E229" s="11"/>
      <c r="F229" s="11"/>
      <c r="G229" s="696"/>
      <c r="H229" s="684">
        <f t="shared" si="683"/>
        <v>0</v>
      </c>
      <c r="I229" s="11">
        <f t="shared" si="671"/>
        <v>0</v>
      </c>
      <c r="J229" s="11"/>
      <c r="K229" s="11"/>
      <c r="L229" s="545">
        <f t="shared" si="672"/>
        <v>0</v>
      </c>
      <c r="M229" s="11">
        <f t="shared" si="684"/>
        <v>0</v>
      </c>
      <c r="N229" s="11"/>
      <c r="O229" s="861">
        <f t="shared" si="685"/>
        <v>0</v>
      </c>
      <c r="P229" s="697"/>
      <c r="Q229" s="695"/>
      <c r="R229" s="696"/>
      <c r="S229" s="696"/>
      <c r="T229" s="698"/>
      <c r="U229" s="699">
        <f t="shared" si="686"/>
        <v>0</v>
      </c>
      <c r="V229" s="433">
        <f t="shared" si="673"/>
        <v>0</v>
      </c>
      <c r="W229" s="11"/>
      <c r="X229" s="11"/>
      <c r="Y229" s="699"/>
      <c r="Z229" s="11">
        <f t="shared" si="674"/>
        <v>0</v>
      </c>
      <c r="AA229" s="11"/>
      <c r="AB229" s="11"/>
      <c r="AC229" s="698">
        <f t="shared" si="675"/>
        <v>0</v>
      </c>
      <c r="AD229" s="433">
        <f t="shared" si="676"/>
        <v>0</v>
      </c>
      <c r="AE229" s="11">
        <f t="shared" si="677"/>
        <v>0</v>
      </c>
      <c r="AF229" s="11">
        <f t="shared" si="677"/>
        <v>0</v>
      </c>
      <c r="AG229" s="700">
        <f t="shared" si="678"/>
        <v>0</v>
      </c>
      <c r="AH229" s="11"/>
      <c r="AI229" s="1082"/>
      <c r="AJ229" s="910"/>
      <c r="AK229" s="910"/>
      <c r="AL229" s="702"/>
      <c r="AM229" s="702">
        <f t="shared" si="643"/>
        <v>0</v>
      </c>
      <c r="AN229" s="1233"/>
      <c r="AO229" s="695"/>
      <c r="AP229" s="695">
        <v>0</v>
      </c>
      <c r="AQ229" s="698"/>
      <c r="AR229" s="684"/>
      <c r="AS229" s="11"/>
      <c r="AT229" s="11">
        <f t="shared" si="687"/>
        <v>0</v>
      </c>
      <c r="AU229" s="11">
        <f t="shared" si="679"/>
        <v>0</v>
      </c>
      <c r="AV229" s="684">
        <f t="shared" si="587"/>
        <v>0</v>
      </c>
      <c r="AW229" s="11">
        <f t="shared" si="680"/>
        <v>0</v>
      </c>
      <c r="AX229" s="11">
        <f t="shared" si="681"/>
        <v>0</v>
      </c>
      <c r="AY229" s="11">
        <f t="shared" si="681"/>
        <v>0</v>
      </c>
      <c r="AZ229" s="18">
        <f t="shared" si="688"/>
        <v>0</v>
      </c>
      <c r="BA229" s="18">
        <f t="shared" si="682"/>
        <v>0</v>
      </c>
      <c r="BB229" s="703">
        <f t="shared" si="689"/>
        <v>0</v>
      </c>
      <c r="BC229" s="700">
        <f t="shared" si="690"/>
        <v>0</v>
      </c>
      <c r="BD229" s="700"/>
      <c r="BE229" s="11"/>
      <c r="BF229" s="701"/>
      <c r="BG229" s="11"/>
      <c r="BH229" s="872"/>
    </row>
    <row r="230" spans="1:61">
      <c r="A230" s="11">
        <v>6</v>
      </c>
      <c r="B230" s="694" t="s">
        <v>74</v>
      </c>
      <c r="C230" s="695"/>
      <c r="D230" s="695"/>
      <c r="E230" s="11"/>
      <c r="F230" s="11"/>
      <c r="G230" s="696"/>
      <c r="H230" s="684">
        <f t="shared" si="683"/>
        <v>0</v>
      </c>
      <c r="I230" s="11">
        <f t="shared" si="671"/>
        <v>0</v>
      </c>
      <c r="J230" s="11"/>
      <c r="K230" s="11"/>
      <c r="L230" s="545">
        <f t="shared" si="672"/>
        <v>0</v>
      </c>
      <c r="M230" s="11">
        <f t="shared" si="684"/>
        <v>0</v>
      </c>
      <c r="N230" s="11"/>
      <c r="O230" s="861">
        <f t="shared" si="685"/>
        <v>0</v>
      </c>
      <c r="P230" s="697"/>
      <c r="Q230" s="695"/>
      <c r="R230" s="696"/>
      <c r="S230" s="696"/>
      <c r="T230" s="698"/>
      <c r="U230" s="699">
        <f t="shared" si="686"/>
        <v>0</v>
      </c>
      <c r="V230" s="433">
        <f t="shared" si="673"/>
        <v>0</v>
      </c>
      <c r="W230" s="11"/>
      <c r="X230" s="11"/>
      <c r="Y230" s="699"/>
      <c r="Z230" s="11">
        <f t="shared" si="674"/>
        <v>0</v>
      </c>
      <c r="AA230" s="11"/>
      <c r="AB230" s="11"/>
      <c r="AC230" s="698">
        <f t="shared" si="675"/>
        <v>0</v>
      </c>
      <c r="AD230" s="433">
        <f t="shared" si="676"/>
        <v>0</v>
      </c>
      <c r="AE230" s="11">
        <f t="shared" si="677"/>
        <v>0</v>
      </c>
      <c r="AF230" s="11">
        <f t="shared" si="677"/>
        <v>0</v>
      </c>
      <c r="AG230" s="700">
        <f t="shared" si="678"/>
        <v>0</v>
      </c>
      <c r="AH230" s="11"/>
      <c r="AI230" s="1082"/>
      <c r="AJ230" s="910"/>
      <c r="AK230" s="910"/>
      <c r="AL230" s="702"/>
      <c r="AM230" s="702">
        <f t="shared" si="643"/>
        <v>0</v>
      </c>
      <c r="AN230" s="1233"/>
      <c r="AO230" s="695"/>
      <c r="AP230" s="695">
        <v>0</v>
      </c>
      <c r="AQ230" s="698"/>
      <c r="AR230" s="684"/>
      <c r="AS230" s="11"/>
      <c r="AT230" s="11">
        <f t="shared" si="687"/>
        <v>0</v>
      </c>
      <c r="AU230" s="11">
        <f t="shared" si="679"/>
        <v>0</v>
      </c>
      <c r="AV230" s="684">
        <f t="shared" si="587"/>
        <v>0</v>
      </c>
      <c r="AW230" s="11">
        <f t="shared" si="680"/>
        <v>0</v>
      </c>
      <c r="AX230" s="11">
        <f t="shared" si="681"/>
        <v>0</v>
      </c>
      <c r="AY230" s="11">
        <f t="shared" si="681"/>
        <v>0</v>
      </c>
      <c r="AZ230" s="18">
        <f t="shared" si="688"/>
        <v>0</v>
      </c>
      <c r="BA230" s="18">
        <f t="shared" si="682"/>
        <v>0</v>
      </c>
      <c r="BB230" s="703">
        <f t="shared" si="689"/>
        <v>0</v>
      </c>
      <c r="BC230" s="700">
        <f t="shared" si="690"/>
        <v>0</v>
      </c>
      <c r="BD230" s="700"/>
      <c r="BE230" s="11"/>
      <c r="BF230" s="701"/>
      <c r="BG230" s="11"/>
      <c r="BH230" s="872"/>
    </row>
    <row r="231" spans="1:61">
      <c r="A231" s="11">
        <v>7</v>
      </c>
      <c r="B231" s="1131" t="s">
        <v>814</v>
      </c>
      <c r="C231" s="695">
        <v>183.6</v>
      </c>
      <c r="D231" s="695">
        <v>0</v>
      </c>
      <c r="E231" s="11">
        <v>23179.200000000001</v>
      </c>
      <c r="F231" s="11">
        <v>0</v>
      </c>
      <c r="G231" s="696">
        <v>10520.7</v>
      </c>
      <c r="H231" s="684">
        <f t="shared" si="683"/>
        <v>23179.200000000001</v>
      </c>
      <c r="I231" s="11">
        <f t="shared" si="671"/>
        <v>23179.200000000001</v>
      </c>
      <c r="J231" s="11">
        <v>0</v>
      </c>
      <c r="K231" s="11"/>
      <c r="L231" s="545">
        <f t="shared" si="672"/>
        <v>0</v>
      </c>
      <c r="M231" s="11">
        <f t="shared" si="684"/>
        <v>0</v>
      </c>
      <c r="N231" s="11"/>
      <c r="O231" s="861">
        <f t="shared" si="685"/>
        <v>4.5999999999999943</v>
      </c>
      <c r="P231" s="697">
        <v>188.2</v>
      </c>
      <c r="Q231" s="695"/>
      <c r="R231" s="696">
        <v>10520.72</v>
      </c>
      <c r="S231" s="696"/>
      <c r="T231" s="698"/>
      <c r="U231" s="699">
        <f t="shared" si="686"/>
        <v>23759994.050000001</v>
      </c>
      <c r="V231" s="433">
        <f t="shared" si="673"/>
        <v>23759994.050000001</v>
      </c>
      <c r="W231" s="11"/>
      <c r="X231" s="11"/>
      <c r="Y231" s="699"/>
      <c r="Z231" s="11">
        <f t="shared" si="674"/>
        <v>0</v>
      </c>
      <c r="AA231" s="11"/>
      <c r="AB231" s="11"/>
      <c r="AC231" s="698">
        <f t="shared" si="675"/>
        <v>23759994.050000001</v>
      </c>
      <c r="AD231" s="433">
        <f t="shared" si="676"/>
        <v>23759994.050000001</v>
      </c>
      <c r="AE231" s="11">
        <f t="shared" si="677"/>
        <v>0</v>
      </c>
      <c r="AF231" s="11">
        <f t="shared" si="677"/>
        <v>0</v>
      </c>
      <c r="AG231" s="700">
        <f t="shared" si="678"/>
        <v>30935512.25</v>
      </c>
      <c r="AH231" s="11"/>
      <c r="AI231" s="1082"/>
      <c r="AJ231" s="910"/>
      <c r="AK231" s="910"/>
      <c r="AL231" s="702">
        <v>10520.7</v>
      </c>
      <c r="AM231" s="702">
        <f t="shared" si="643"/>
        <v>0</v>
      </c>
      <c r="AN231" s="1233"/>
      <c r="AO231" s="695">
        <v>188.2</v>
      </c>
      <c r="AP231" s="695">
        <v>0</v>
      </c>
      <c r="AQ231" s="698"/>
      <c r="AR231" s="684">
        <v>23760</v>
      </c>
      <c r="AS231" s="11">
        <v>23760</v>
      </c>
      <c r="AT231" s="11">
        <f t="shared" si="687"/>
        <v>0</v>
      </c>
      <c r="AU231" s="11">
        <f t="shared" si="679"/>
        <v>0</v>
      </c>
      <c r="AV231" s="684">
        <f t="shared" si="587"/>
        <v>0</v>
      </c>
      <c r="AW231" s="11">
        <f t="shared" si="680"/>
        <v>0</v>
      </c>
      <c r="AX231" s="11">
        <f t="shared" si="681"/>
        <v>0</v>
      </c>
      <c r="AY231" s="11">
        <f t="shared" si="681"/>
        <v>0</v>
      </c>
      <c r="AZ231" s="18">
        <f t="shared" si="688"/>
        <v>0</v>
      </c>
      <c r="BA231" s="18">
        <f t="shared" si="682"/>
        <v>0</v>
      </c>
      <c r="BB231" s="703">
        <f t="shared" si="689"/>
        <v>23760</v>
      </c>
      <c r="BC231" s="700">
        <f t="shared" si="690"/>
        <v>30935.5</v>
      </c>
      <c r="BD231" s="700"/>
      <c r="BE231" s="11"/>
      <c r="BF231" s="701"/>
      <c r="BG231" s="11"/>
      <c r="BH231" s="872"/>
    </row>
    <row r="232" spans="1:61">
      <c r="A232" s="11"/>
      <c r="B232" s="1132" t="s">
        <v>815</v>
      </c>
      <c r="C232" s="695"/>
      <c r="D232" s="695"/>
      <c r="E232" s="11"/>
      <c r="F232" s="11"/>
      <c r="G232" s="696"/>
      <c r="H232" s="684"/>
      <c r="I232" s="11"/>
      <c r="J232" s="11"/>
      <c r="K232" s="11"/>
      <c r="L232" s="545"/>
      <c r="M232" s="11"/>
      <c r="N232" s="11"/>
      <c r="O232" s="861"/>
      <c r="P232" s="697"/>
      <c r="Q232" s="695"/>
      <c r="R232" s="696"/>
      <c r="S232" s="696"/>
      <c r="T232" s="698"/>
      <c r="U232" s="699"/>
      <c r="V232" s="433"/>
      <c r="W232" s="11"/>
      <c r="X232" s="11"/>
      <c r="Y232" s="699"/>
      <c r="Z232" s="11"/>
      <c r="AA232" s="11"/>
      <c r="AB232" s="11"/>
      <c r="AC232" s="698"/>
      <c r="AD232" s="433"/>
      <c r="AE232" s="11"/>
      <c r="AF232" s="11"/>
      <c r="AG232" s="700"/>
      <c r="AH232" s="11"/>
      <c r="AI232" s="1082"/>
      <c r="AJ232" s="910"/>
      <c r="AK232" s="910"/>
      <c r="AL232" s="702"/>
      <c r="AM232" s="702"/>
      <c r="AN232" s="1233"/>
      <c r="AO232" s="695"/>
      <c r="AP232" s="695"/>
      <c r="AQ232" s="698"/>
      <c r="AR232" s="684"/>
      <c r="AS232" s="11"/>
      <c r="AT232" s="11"/>
      <c r="AU232" s="11"/>
      <c r="AV232" s="684"/>
      <c r="AW232" s="11"/>
      <c r="AX232" s="11"/>
      <c r="AY232" s="11"/>
      <c r="AZ232" s="18"/>
      <c r="BA232" s="18"/>
      <c r="BB232" s="703"/>
      <c r="BC232" s="700"/>
      <c r="BD232" s="700"/>
      <c r="BE232" s="1045"/>
      <c r="BF232" s="701"/>
      <c r="BG232" s="1045"/>
      <c r="BH232" s="872"/>
    </row>
    <row r="233" spans="1:61" ht="19.149999999999999" customHeight="1">
      <c r="A233" s="545">
        <v>25</v>
      </c>
      <c r="B233" s="426" t="s">
        <v>533</v>
      </c>
      <c r="C233" s="545">
        <f>C234+C235+C236+C237+C238+C239+C240</f>
        <v>629.4</v>
      </c>
      <c r="D233" s="545">
        <f>D234+D235+D236+D237+D238+D239+D240</f>
        <v>24.1</v>
      </c>
      <c r="E233" s="545">
        <f>SUM(E234:E240)</f>
        <v>139298.4</v>
      </c>
      <c r="F233" s="545">
        <f t="shared" ref="F233:AG233" si="691">F234+F235+F236+F237+F238+F239+F240</f>
        <v>2876.1</v>
      </c>
      <c r="G233" s="558">
        <v>18443.28</v>
      </c>
      <c r="H233" s="545">
        <f t="shared" si="691"/>
        <v>139298.4</v>
      </c>
      <c r="I233" s="545">
        <f t="shared" si="691"/>
        <v>133307.19999999998</v>
      </c>
      <c r="J233" s="545">
        <f t="shared" si="691"/>
        <v>0</v>
      </c>
      <c r="K233" s="545">
        <f t="shared" si="691"/>
        <v>5991.2</v>
      </c>
      <c r="L233" s="545" t="e">
        <f t="shared" si="691"/>
        <v>#REF!</v>
      </c>
      <c r="M233" s="545" t="e">
        <f t="shared" si="691"/>
        <v>#REF!</v>
      </c>
      <c r="N233" s="545">
        <f t="shared" si="691"/>
        <v>11.800000000000022</v>
      </c>
      <c r="O233" s="559" t="e">
        <f t="shared" si="691"/>
        <v>#REF!</v>
      </c>
      <c r="P233" s="560">
        <f t="shared" si="691"/>
        <v>641.20000000000005</v>
      </c>
      <c r="Q233" s="545">
        <f t="shared" si="691"/>
        <v>29.2</v>
      </c>
      <c r="R233" s="558">
        <v>18443.28</v>
      </c>
      <c r="S233" s="558"/>
      <c r="T233" s="558">
        <f>SUM(T234:T240)</f>
        <v>144220575.28</v>
      </c>
      <c r="U233" s="558">
        <f t="shared" ref="U233:AB233" si="692">U234+U235+U236+U237+U238+U239+U240</f>
        <v>140802898.84</v>
      </c>
      <c r="V233" s="545">
        <f t="shared" si="692"/>
        <v>133952198.83999999</v>
      </c>
      <c r="W233" s="545">
        <f t="shared" si="692"/>
        <v>0</v>
      </c>
      <c r="X233" s="545">
        <f t="shared" si="692"/>
        <v>6850700</v>
      </c>
      <c r="Y233" s="545">
        <f t="shared" si="692"/>
        <v>3417676.44</v>
      </c>
      <c r="Z233" s="545">
        <f t="shared" si="692"/>
        <v>3352676.44</v>
      </c>
      <c r="AA233" s="545">
        <f t="shared" si="692"/>
        <v>0</v>
      </c>
      <c r="AB233" s="545">
        <f t="shared" si="692"/>
        <v>65000</v>
      </c>
      <c r="AC233" s="545">
        <f t="shared" si="691"/>
        <v>144220575.28</v>
      </c>
      <c r="AD233" s="545">
        <f t="shared" si="691"/>
        <v>137304875.28</v>
      </c>
      <c r="AE233" s="545">
        <f t="shared" si="691"/>
        <v>0</v>
      </c>
      <c r="AF233" s="545">
        <f t="shared" si="691"/>
        <v>6915700</v>
      </c>
      <c r="AG233" s="558">
        <f t="shared" si="691"/>
        <v>178770947.61000001</v>
      </c>
      <c r="AH233" s="558">
        <f>AI233-AG233</f>
        <v>7619385.7799999714</v>
      </c>
      <c r="AI233" s="1086">
        <v>186390333.38999999</v>
      </c>
      <c r="AJ233" s="765">
        <f>AH233+AG233</f>
        <v>186390333.38999999</v>
      </c>
      <c r="AK233" s="876">
        <f>AJ233-AI233</f>
        <v>0</v>
      </c>
      <c r="AL233" s="563">
        <v>18443.28</v>
      </c>
      <c r="AM233" s="563">
        <f t="shared" si="643"/>
        <v>0</v>
      </c>
      <c r="AN233" s="545">
        <f>AN234+AN235+AN236+AN237+AN238+AN239+AN240</f>
        <v>0.80000000000001137</v>
      </c>
      <c r="AO233" s="545">
        <f>AO234+AO235+AO236+AO237+AO238+AO239+AO240</f>
        <v>642</v>
      </c>
      <c r="AP233" s="545">
        <f t="shared" ref="AP233:BC233" si="693">AP234+AP235+AP236+AP237+AP238+AP239+AP240</f>
        <v>30</v>
      </c>
      <c r="AQ233" s="561">
        <f>SUM(AQ234:AQ240)</f>
        <v>144507498.09999999</v>
      </c>
      <c r="AR233" s="545">
        <f t="shared" ref="AR233:AR257" si="694">ROUND((AL233*AO233*12),1)</f>
        <v>142087029.09999999</v>
      </c>
      <c r="AS233" s="545">
        <f t="shared" si="693"/>
        <v>134148516.5</v>
      </c>
      <c r="AT233" s="545">
        <f t="shared" si="693"/>
        <v>0</v>
      </c>
      <c r="AU233" s="545">
        <f t="shared" si="693"/>
        <v>6850700</v>
      </c>
      <c r="AV233" s="545">
        <f t="shared" si="587"/>
        <v>0</v>
      </c>
      <c r="AW233" s="545">
        <f>AW234+AW235+AW236+AW237+AW238+AW239+AW240</f>
        <v>3443281.6</v>
      </c>
      <c r="AX233" s="545">
        <f t="shared" si="693"/>
        <v>0</v>
      </c>
      <c r="AY233" s="545">
        <f t="shared" si="693"/>
        <v>65000</v>
      </c>
      <c r="AZ233" s="545">
        <f t="shared" si="693"/>
        <v>0</v>
      </c>
      <c r="BA233" s="545">
        <f t="shared" si="693"/>
        <v>6915700</v>
      </c>
      <c r="BB233" s="545">
        <f t="shared" si="693"/>
        <v>137591798.09999999</v>
      </c>
      <c r="BC233" s="545">
        <f t="shared" si="693"/>
        <v>179144521.09999999</v>
      </c>
      <c r="BD233" s="558">
        <v>8309340</v>
      </c>
      <c r="BE233" s="564">
        <f>BD233+BC233</f>
        <v>187453861.09999999</v>
      </c>
      <c r="BF233" s="562">
        <v>186390333.38999999</v>
      </c>
      <c r="BG233" s="565">
        <f>BE233-BF233</f>
        <v>1063527.7100000083</v>
      </c>
      <c r="BH233" s="876">
        <f>AG233+AH233</f>
        <v>186390333.38999999</v>
      </c>
      <c r="BI233" s="876">
        <f>BH233-AI233</f>
        <v>0</v>
      </c>
    </row>
    <row r="234" spans="1:61">
      <c r="A234" s="11">
        <v>1</v>
      </c>
      <c r="B234" s="13" t="s">
        <v>71</v>
      </c>
      <c r="C234" s="17">
        <v>11</v>
      </c>
      <c r="D234" s="17"/>
      <c r="E234" s="11">
        <v>5659.5</v>
      </c>
      <c r="F234" s="11"/>
      <c r="G234" s="555">
        <v>42875</v>
      </c>
      <c r="H234" s="545">
        <f>I234+J234+K234</f>
        <v>5659.5</v>
      </c>
      <c r="I234" s="11">
        <f t="shared" ref="I234:I240" si="695">E234-K234-J234</f>
        <v>5416.4</v>
      </c>
      <c r="J234" s="11">
        <v>0</v>
      </c>
      <c r="K234" s="11">
        <v>243.1</v>
      </c>
      <c r="L234" s="684">
        <f>M234+O234</f>
        <v>0</v>
      </c>
      <c r="M234" s="11">
        <f>F234-O234</f>
        <v>0</v>
      </c>
      <c r="N234" s="862">
        <f>P234-C234</f>
        <v>0</v>
      </c>
      <c r="O234" s="439"/>
      <c r="P234" s="444">
        <v>11</v>
      </c>
      <c r="Q234" s="17"/>
      <c r="R234" s="555">
        <v>42875</v>
      </c>
      <c r="S234" s="555"/>
      <c r="T234" s="554">
        <f>U234+Y234</f>
        <v>5659500</v>
      </c>
      <c r="U234" s="554">
        <f t="shared" ref="U234:U240" si="696">ROUND(R234*P234*12,2)</f>
        <v>5659500</v>
      </c>
      <c r="V234" s="433">
        <f t="shared" ref="V234:V240" si="697">U234-W234-X234</f>
        <v>5359300</v>
      </c>
      <c r="W234" s="11"/>
      <c r="X234" s="11">
        <v>300200</v>
      </c>
      <c r="Y234" s="556">
        <f t="shared" ref="Y234:Y240" si="698">ROUND(S234*Q234*12,2)</f>
        <v>0</v>
      </c>
      <c r="Z234" s="11">
        <f t="shared" ref="Z234:Z240" si="699">Y234-AA234-AB234</f>
        <v>0</v>
      </c>
      <c r="AA234" s="11"/>
      <c r="AB234" s="11"/>
      <c r="AC234" s="554">
        <f t="shared" ref="AC234:AC240" si="700">AD234+AE234+AF234</f>
        <v>5659500</v>
      </c>
      <c r="AD234" s="433">
        <f t="shared" ref="AD234:AD240" si="701">ROUND((Z234+V234),2)</f>
        <v>5359300</v>
      </c>
      <c r="AE234" s="11">
        <f t="shared" ref="AE234:AF240" si="702">AA234+W234</f>
        <v>0</v>
      </c>
      <c r="AF234" s="11">
        <f t="shared" si="702"/>
        <v>300200</v>
      </c>
      <c r="AG234" s="739">
        <f t="shared" ref="AG234:AG240" si="703">ROUND(AD234*1.302,2)</f>
        <v>6977808.5999999996</v>
      </c>
      <c r="AH234" s="548">
        <v>8047000</v>
      </c>
      <c r="AI234" s="1092" t="s">
        <v>707</v>
      </c>
      <c r="AJ234" s="1095"/>
      <c r="AK234" s="1095"/>
      <c r="AL234" s="557">
        <v>42875</v>
      </c>
      <c r="AM234" s="557">
        <f t="shared" si="643"/>
        <v>0</v>
      </c>
      <c r="AN234" s="1233"/>
      <c r="AO234" s="17">
        <v>11</v>
      </c>
      <c r="AP234" s="17"/>
      <c r="AQ234" s="554">
        <f>AR234+AV234</f>
        <v>5659500</v>
      </c>
      <c r="AR234" s="558">
        <f t="shared" si="694"/>
        <v>5659500</v>
      </c>
      <c r="AS234" s="433">
        <f t="shared" ref="AS234:AS240" si="704">AR234-AT234-AU234</f>
        <v>5359300</v>
      </c>
      <c r="AT234" s="433">
        <f>W234</f>
        <v>0</v>
      </c>
      <c r="AU234" s="433">
        <f t="shared" ref="AU234:AU240" si="705">X234</f>
        <v>300200</v>
      </c>
      <c r="AV234" s="558">
        <f t="shared" si="587"/>
        <v>0</v>
      </c>
      <c r="AW234" s="433">
        <f t="shared" ref="AW234:AW240" si="706">AV234-AX234-AY234</f>
        <v>0</v>
      </c>
      <c r="AX234" s="433">
        <f t="shared" ref="AX234:AY240" si="707">AA234</f>
        <v>0</v>
      </c>
      <c r="AY234" s="433">
        <f t="shared" si="707"/>
        <v>0</v>
      </c>
      <c r="AZ234" s="740">
        <f>AX234+AT234</f>
        <v>0</v>
      </c>
      <c r="BA234" s="740">
        <f t="shared" ref="BA234:BA240" si="708">AY234+AU234</f>
        <v>300200</v>
      </c>
      <c r="BB234" s="741">
        <f>AW234+AS234</f>
        <v>5359300</v>
      </c>
      <c r="BC234" s="739">
        <f>ROUND(BB234*1.302,1)</f>
        <v>6977808.5999999996</v>
      </c>
      <c r="BD234" s="544"/>
      <c r="BE234" s="11"/>
      <c r="BF234" s="445"/>
      <c r="BG234" s="11"/>
      <c r="BH234" s="872"/>
    </row>
    <row r="235" spans="1:61">
      <c r="A235" s="11">
        <v>2</v>
      </c>
      <c r="B235" s="13" t="s">
        <v>72</v>
      </c>
      <c r="C235" s="17">
        <v>33.6</v>
      </c>
      <c r="D235" s="17"/>
      <c r="E235" s="11">
        <v>12754.7</v>
      </c>
      <c r="F235" s="11"/>
      <c r="G235" s="555">
        <v>31633.68</v>
      </c>
      <c r="H235" s="545">
        <f t="shared" ref="H235:H240" si="709">I235+J235+K235</f>
        <v>12754.7</v>
      </c>
      <c r="I235" s="11">
        <f t="shared" si="695"/>
        <v>12361.7</v>
      </c>
      <c r="J235" s="11">
        <v>0</v>
      </c>
      <c r="K235" s="11">
        <v>393</v>
      </c>
      <c r="L235" s="684" t="e">
        <f t="shared" ref="L235:L240" si="710">M235+O235</f>
        <v>#REF!</v>
      </c>
      <c r="M235" s="11" t="e">
        <f t="shared" ref="M235:M240" si="711">F235-O235</f>
        <v>#REF!</v>
      </c>
      <c r="N235" s="862">
        <f t="shared" ref="N235:N240" si="712">P235-C235</f>
        <v>0.39999999999999858</v>
      </c>
      <c r="O235" s="439" t="e">
        <f>'[8]Смарт 2015'!L230</f>
        <v>#REF!</v>
      </c>
      <c r="P235" s="444">
        <v>34</v>
      </c>
      <c r="Q235" s="17"/>
      <c r="R235" s="555">
        <v>31633.68</v>
      </c>
      <c r="S235" s="555"/>
      <c r="T235" s="554">
        <f t="shared" ref="T235:T240" si="713">U235+Y235</f>
        <v>12906541.439999999</v>
      </c>
      <c r="U235" s="554">
        <f t="shared" si="696"/>
        <v>12906541.439999999</v>
      </c>
      <c r="V235" s="433">
        <f t="shared" si="697"/>
        <v>12424141.439999999</v>
      </c>
      <c r="W235" s="11"/>
      <c r="X235" s="11">
        <v>482400</v>
      </c>
      <c r="Y235" s="556">
        <f t="shared" si="698"/>
        <v>0</v>
      </c>
      <c r="Z235" s="11">
        <f t="shared" si="699"/>
        <v>0</v>
      </c>
      <c r="AA235" s="11"/>
      <c r="AB235" s="11"/>
      <c r="AC235" s="554">
        <f t="shared" si="700"/>
        <v>12906541.439999999</v>
      </c>
      <c r="AD235" s="433">
        <f t="shared" si="701"/>
        <v>12424141.439999999</v>
      </c>
      <c r="AE235" s="11">
        <f t="shared" si="702"/>
        <v>0</v>
      </c>
      <c r="AF235" s="11">
        <f t="shared" si="702"/>
        <v>482400</v>
      </c>
      <c r="AG235" s="739">
        <f t="shared" si="703"/>
        <v>16176232.15</v>
      </c>
      <c r="AH235" s="11"/>
      <c r="AI235" s="1084"/>
      <c r="AJ235" s="850"/>
      <c r="AK235" s="850"/>
      <c r="AL235" s="557">
        <v>31633.68</v>
      </c>
      <c r="AM235" s="557">
        <f t="shared" si="643"/>
        <v>0</v>
      </c>
      <c r="AN235" s="1233"/>
      <c r="AO235" s="17">
        <v>34</v>
      </c>
      <c r="AP235" s="17"/>
      <c r="AQ235" s="554">
        <f t="shared" ref="AQ235:AQ240" si="714">AR235+AV235</f>
        <v>12906541.4</v>
      </c>
      <c r="AR235" s="558">
        <f t="shared" si="694"/>
        <v>12906541.4</v>
      </c>
      <c r="AS235" s="433">
        <f t="shared" si="704"/>
        <v>12424141.4</v>
      </c>
      <c r="AT235" s="433">
        <f t="shared" ref="AT235:AT240" si="715">W235</f>
        <v>0</v>
      </c>
      <c r="AU235" s="433">
        <f t="shared" si="705"/>
        <v>482400</v>
      </c>
      <c r="AV235" s="558">
        <f t="shared" si="587"/>
        <v>0</v>
      </c>
      <c r="AW235" s="433">
        <f t="shared" si="706"/>
        <v>0</v>
      </c>
      <c r="AX235" s="433">
        <f t="shared" si="707"/>
        <v>0</v>
      </c>
      <c r="AY235" s="433">
        <f t="shared" si="707"/>
        <v>0</v>
      </c>
      <c r="AZ235" s="740">
        <f t="shared" ref="AZ235:AZ240" si="716">AX235+AT235</f>
        <v>0</v>
      </c>
      <c r="BA235" s="740">
        <f t="shared" si="708"/>
        <v>482400</v>
      </c>
      <c r="BB235" s="741">
        <f t="shared" ref="BB235:BB240" si="717">AW235+AS235</f>
        <v>12424141.4</v>
      </c>
      <c r="BC235" s="739">
        <f t="shared" ref="BC235:BC240" si="718">ROUND(BB235*1.302,1)</f>
        <v>16176232.1</v>
      </c>
      <c r="BD235" s="544"/>
      <c r="BE235" s="11"/>
      <c r="BF235" s="445"/>
      <c r="BG235" s="11"/>
      <c r="BH235" s="872"/>
    </row>
    <row r="236" spans="1:61">
      <c r="A236" s="11">
        <v>3</v>
      </c>
      <c r="B236" s="14" t="s">
        <v>76</v>
      </c>
      <c r="C236" s="17">
        <v>301.2</v>
      </c>
      <c r="D236" s="17">
        <v>11.3</v>
      </c>
      <c r="E236" s="11">
        <v>87208</v>
      </c>
      <c r="F236" s="11">
        <v>1726.1</v>
      </c>
      <c r="G236" s="29">
        <v>24127.93</v>
      </c>
      <c r="H236" s="545">
        <f t="shared" si="709"/>
        <v>87208</v>
      </c>
      <c r="I236" s="11">
        <f t="shared" si="695"/>
        <v>82142.8</v>
      </c>
      <c r="J236" s="11">
        <v>0</v>
      </c>
      <c r="K236" s="11">
        <v>5065.2</v>
      </c>
      <c r="L236" s="684">
        <f t="shared" si="710"/>
        <v>1726.1</v>
      </c>
      <c r="M236" s="11">
        <f t="shared" si="711"/>
        <v>1676.5</v>
      </c>
      <c r="N236" s="862">
        <f t="shared" si="712"/>
        <v>0.19999999999998863</v>
      </c>
      <c r="O236" s="439">
        <v>49.6</v>
      </c>
      <c r="P236" s="444">
        <v>301.39999999999998</v>
      </c>
      <c r="Q236" s="17">
        <v>12.7</v>
      </c>
      <c r="R236" s="29">
        <v>24127.93</v>
      </c>
      <c r="S236" s="555">
        <f>ROUND(F236/D236/12*1000,2)</f>
        <v>12729.35</v>
      </c>
      <c r="T236" s="554">
        <f t="shared" si="713"/>
        <v>89205850.159999996</v>
      </c>
      <c r="U236" s="554">
        <f t="shared" si="696"/>
        <v>87265897.219999999</v>
      </c>
      <c r="V236" s="433">
        <f t="shared" si="697"/>
        <v>81504897.219999999</v>
      </c>
      <c r="W236" s="11"/>
      <c r="X236" s="11">
        <v>5761000</v>
      </c>
      <c r="Y236" s="556">
        <f t="shared" si="698"/>
        <v>1939952.94</v>
      </c>
      <c r="Z236" s="11">
        <f t="shared" si="699"/>
        <v>1874952.94</v>
      </c>
      <c r="AA236" s="11"/>
      <c r="AB236" s="11">
        <v>65000</v>
      </c>
      <c r="AC236" s="554">
        <f t="shared" si="700"/>
        <v>89205850.159999996</v>
      </c>
      <c r="AD236" s="433">
        <f t="shared" si="701"/>
        <v>83379850.159999996</v>
      </c>
      <c r="AE236" s="11">
        <f t="shared" si="702"/>
        <v>0</v>
      </c>
      <c r="AF236" s="11">
        <f t="shared" si="702"/>
        <v>5826000</v>
      </c>
      <c r="AG236" s="739">
        <f t="shared" si="703"/>
        <v>108560564.91</v>
      </c>
      <c r="AH236" s="11"/>
      <c r="AI236" s="1084"/>
      <c r="AJ236" s="850"/>
      <c r="AK236" s="850"/>
      <c r="AL236" s="440">
        <v>24127.93</v>
      </c>
      <c r="AM236" s="557">
        <f t="shared" si="643"/>
        <v>12729.35</v>
      </c>
      <c r="AN236" s="1233">
        <f>AO236-P236</f>
        <v>0.60000000000002274</v>
      </c>
      <c r="AO236" s="17">
        <v>302</v>
      </c>
      <c r="AP236" s="17">
        <v>13</v>
      </c>
      <c r="AQ236" s="554">
        <f t="shared" si="714"/>
        <v>89425396.899999991</v>
      </c>
      <c r="AR236" s="558">
        <f t="shared" si="694"/>
        <v>87439618.299999997</v>
      </c>
      <c r="AS236" s="433">
        <f t="shared" si="704"/>
        <v>81678618.299999997</v>
      </c>
      <c r="AT236" s="433">
        <f t="shared" si="715"/>
        <v>0</v>
      </c>
      <c r="AU236" s="433">
        <f t="shared" si="705"/>
        <v>5761000</v>
      </c>
      <c r="AV236" s="558">
        <f t="shared" si="587"/>
        <v>1985778.6</v>
      </c>
      <c r="AW236" s="433">
        <f t="shared" si="706"/>
        <v>1920778.6</v>
      </c>
      <c r="AX236" s="433">
        <f t="shared" si="707"/>
        <v>0</v>
      </c>
      <c r="AY236" s="433">
        <f t="shared" si="707"/>
        <v>65000</v>
      </c>
      <c r="AZ236" s="740">
        <f t="shared" si="716"/>
        <v>0</v>
      </c>
      <c r="BA236" s="740">
        <f t="shared" si="708"/>
        <v>5826000</v>
      </c>
      <c r="BB236" s="741">
        <f t="shared" si="717"/>
        <v>83599396.899999991</v>
      </c>
      <c r="BC236" s="739">
        <f t="shared" si="718"/>
        <v>108846414.8</v>
      </c>
      <c r="BD236" s="544"/>
      <c r="BE236" s="11"/>
      <c r="BF236" s="445"/>
      <c r="BG236" s="11"/>
      <c r="BH236" s="872"/>
    </row>
    <row r="237" spans="1:61">
      <c r="A237" s="11">
        <v>4</v>
      </c>
      <c r="B237" s="14" t="s">
        <v>77</v>
      </c>
      <c r="C237" s="17">
        <v>16.7</v>
      </c>
      <c r="D237" s="17">
        <v>0.1</v>
      </c>
      <c r="E237" s="11">
        <v>3520.9</v>
      </c>
      <c r="F237" s="11">
        <v>12.6</v>
      </c>
      <c r="G237" s="432">
        <v>17569.36</v>
      </c>
      <c r="H237" s="545">
        <f t="shared" si="709"/>
        <v>3520.9</v>
      </c>
      <c r="I237" s="11">
        <f t="shared" si="695"/>
        <v>3288.9</v>
      </c>
      <c r="J237" s="11"/>
      <c r="K237" s="11">
        <v>232</v>
      </c>
      <c r="L237" s="684" t="e">
        <f t="shared" si="710"/>
        <v>#REF!</v>
      </c>
      <c r="M237" s="11" t="e">
        <f t="shared" si="711"/>
        <v>#REF!</v>
      </c>
      <c r="N237" s="862">
        <f t="shared" si="712"/>
        <v>0.30000000000000071</v>
      </c>
      <c r="O237" s="439" t="e">
        <f>'[8]Смарт 2015'!L232</f>
        <v>#REF!</v>
      </c>
      <c r="P237" s="444">
        <v>17</v>
      </c>
      <c r="Q237" s="17"/>
      <c r="R237" s="432">
        <v>17569.36</v>
      </c>
      <c r="S237" s="555">
        <f>ROUND(F237/D237/12*1000,2)</f>
        <v>10500</v>
      </c>
      <c r="T237" s="554">
        <f t="shared" si="713"/>
        <v>3584149.44</v>
      </c>
      <c r="U237" s="554">
        <f t="shared" si="696"/>
        <v>3584149.44</v>
      </c>
      <c r="V237" s="433">
        <f t="shared" si="697"/>
        <v>3343249.44</v>
      </c>
      <c r="W237" s="11"/>
      <c r="X237" s="11">
        <v>240900</v>
      </c>
      <c r="Y237" s="556">
        <f t="shared" si="698"/>
        <v>0</v>
      </c>
      <c r="Z237" s="11">
        <f t="shared" si="699"/>
        <v>0</v>
      </c>
      <c r="AA237" s="11"/>
      <c r="AB237" s="11"/>
      <c r="AC237" s="554">
        <f t="shared" si="700"/>
        <v>3584149.44</v>
      </c>
      <c r="AD237" s="433">
        <f t="shared" si="701"/>
        <v>3343249.44</v>
      </c>
      <c r="AE237" s="11">
        <f t="shared" si="702"/>
        <v>0</v>
      </c>
      <c r="AF237" s="11">
        <f t="shared" si="702"/>
        <v>240900</v>
      </c>
      <c r="AG237" s="739">
        <f t="shared" si="703"/>
        <v>4352910.7699999996</v>
      </c>
      <c r="AH237" s="11"/>
      <c r="AI237" s="1084"/>
      <c r="AJ237" s="850"/>
      <c r="AK237" s="850"/>
      <c r="AL237" s="441">
        <v>17569.36</v>
      </c>
      <c r="AM237" s="557">
        <f t="shared" si="643"/>
        <v>10500</v>
      </c>
      <c r="AN237" s="1233"/>
      <c r="AO237" s="17">
        <v>17</v>
      </c>
      <c r="AP237" s="17"/>
      <c r="AQ237" s="554">
        <f t="shared" si="714"/>
        <v>3584149.4</v>
      </c>
      <c r="AR237" s="558">
        <f t="shared" si="694"/>
        <v>3584149.4</v>
      </c>
      <c r="AS237" s="433">
        <f t="shared" si="704"/>
        <v>3343249.4</v>
      </c>
      <c r="AT237" s="433">
        <f t="shared" si="715"/>
        <v>0</v>
      </c>
      <c r="AU237" s="433">
        <f t="shared" si="705"/>
        <v>240900</v>
      </c>
      <c r="AV237" s="558">
        <f t="shared" si="587"/>
        <v>0</v>
      </c>
      <c r="AW237" s="433">
        <f t="shared" si="706"/>
        <v>0</v>
      </c>
      <c r="AX237" s="433">
        <f t="shared" si="707"/>
        <v>0</v>
      </c>
      <c r="AY237" s="433">
        <f t="shared" si="707"/>
        <v>0</v>
      </c>
      <c r="AZ237" s="740">
        <f t="shared" si="716"/>
        <v>0</v>
      </c>
      <c r="BA237" s="740">
        <f t="shared" si="708"/>
        <v>240900</v>
      </c>
      <c r="BB237" s="741">
        <f t="shared" si="717"/>
        <v>3343249.4</v>
      </c>
      <c r="BC237" s="739">
        <f t="shared" si="718"/>
        <v>4352910.7</v>
      </c>
      <c r="BD237" s="544"/>
      <c r="BE237" s="11"/>
      <c r="BF237" s="445"/>
      <c r="BG237" s="11"/>
      <c r="BH237" s="872"/>
    </row>
    <row r="238" spans="1:61">
      <c r="A238" s="11">
        <v>5</v>
      </c>
      <c r="B238" s="13" t="s">
        <v>73</v>
      </c>
      <c r="C238" s="17"/>
      <c r="D238" s="17"/>
      <c r="E238" s="11"/>
      <c r="F238" s="11"/>
      <c r="G238" s="555"/>
      <c r="H238" s="545">
        <f t="shared" si="709"/>
        <v>0</v>
      </c>
      <c r="I238" s="11">
        <f t="shared" si="695"/>
        <v>0</v>
      </c>
      <c r="J238" s="11"/>
      <c r="K238" s="11"/>
      <c r="L238" s="684">
        <f t="shared" si="710"/>
        <v>0</v>
      </c>
      <c r="M238" s="11">
        <f t="shared" si="711"/>
        <v>0</v>
      </c>
      <c r="N238" s="862">
        <f t="shared" si="712"/>
        <v>0</v>
      </c>
      <c r="O238" s="439"/>
      <c r="P238" s="444"/>
      <c r="Q238" s="17"/>
      <c r="R238" s="555"/>
      <c r="S238" s="555"/>
      <c r="T238" s="554">
        <f t="shared" si="713"/>
        <v>0</v>
      </c>
      <c r="U238" s="554">
        <f t="shared" si="696"/>
        <v>0</v>
      </c>
      <c r="V238" s="433">
        <f t="shared" si="697"/>
        <v>0</v>
      </c>
      <c r="W238" s="11"/>
      <c r="X238" s="11"/>
      <c r="Y238" s="556">
        <f t="shared" si="698"/>
        <v>0</v>
      </c>
      <c r="Z238" s="11">
        <f t="shared" si="699"/>
        <v>0</v>
      </c>
      <c r="AA238" s="11"/>
      <c r="AB238" s="11"/>
      <c r="AC238" s="554">
        <f t="shared" si="700"/>
        <v>0</v>
      </c>
      <c r="AD238" s="433">
        <f t="shared" si="701"/>
        <v>0</v>
      </c>
      <c r="AE238" s="11">
        <f t="shared" si="702"/>
        <v>0</v>
      </c>
      <c r="AF238" s="11">
        <f t="shared" si="702"/>
        <v>0</v>
      </c>
      <c r="AG238" s="739">
        <f t="shared" si="703"/>
        <v>0</v>
      </c>
      <c r="AH238" s="11"/>
      <c r="AI238" s="1084"/>
      <c r="AJ238" s="850"/>
      <c r="AK238" s="850"/>
      <c r="AL238" s="557"/>
      <c r="AM238" s="557">
        <f t="shared" si="643"/>
        <v>0</v>
      </c>
      <c r="AN238" s="1233"/>
      <c r="AO238" s="17"/>
      <c r="AP238" s="17"/>
      <c r="AQ238" s="554">
        <f t="shared" si="714"/>
        <v>0</v>
      </c>
      <c r="AR238" s="558">
        <f t="shared" si="694"/>
        <v>0</v>
      </c>
      <c r="AS238" s="433">
        <f t="shared" si="704"/>
        <v>0</v>
      </c>
      <c r="AT238" s="433">
        <f t="shared" si="715"/>
        <v>0</v>
      </c>
      <c r="AU238" s="433">
        <f t="shared" si="705"/>
        <v>0</v>
      </c>
      <c r="AV238" s="558">
        <f t="shared" si="587"/>
        <v>0</v>
      </c>
      <c r="AW238" s="433">
        <f t="shared" si="706"/>
        <v>0</v>
      </c>
      <c r="AX238" s="433">
        <f t="shared" si="707"/>
        <v>0</v>
      </c>
      <c r="AY238" s="433">
        <f t="shared" si="707"/>
        <v>0</v>
      </c>
      <c r="AZ238" s="740">
        <f t="shared" si="716"/>
        <v>0</v>
      </c>
      <c r="BA238" s="740">
        <f t="shared" si="708"/>
        <v>0</v>
      </c>
      <c r="BB238" s="741">
        <f t="shared" si="717"/>
        <v>0</v>
      </c>
      <c r="BC238" s="739">
        <f t="shared" si="718"/>
        <v>0</v>
      </c>
      <c r="BD238" s="544"/>
      <c r="BE238" s="11"/>
      <c r="BF238" s="445"/>
      <c r="BG238" s="11"/>
      <c r="BH238" s="872"/>
    </row>
    <row r="239" spans="1:61">
      <c r="A239" s="11">
        <v>6</v>
      </c>
      <c r="B239" s="13" t="s">
        <v>74</v>
      </c>
      <c r="C239" s="17"/>
      <c r="D239" s="17"/>
      <c r="E239" s="11"/>
      <c r="F239" s="11"/>
      <c r="G239" s="555"/>
      <c r="H239" s="545">
        <f t="shared" si="709"/>
        <v>0</v>
      </c>
      <c r="I239" s="11">
        <f t="shared" si="695"/>
        <v>0</v>
      </c>
      <c r="J239" s="11"/>
      <c r="K239" s="11"/>
      <c r="L239" s="684" t="e">
        <f t="shared" si="710"/>
        <v>#REF!</v>
      </c>
      <c r="M239" s="11" t="e">
        <f t="shared" si="711"/>
        <v>#REF!</v>
      </c>
      <c r="N239" s="862">
        <f t="shared" si="712"/>
        <v>0</v>
      </c>
      <c r="O239" s="439" t="e">
        <f>'[8]Смарт 2015'!L236</f>
        <v>#REF!</v>
      </c>
      <c r="P239" s="444"/>
      <c r="Q239" s="17"/>
      <c r="R239" s="555"/>
      <c r="S239" s="555"/>
      <c r="T239" s="554">
        <f t="shared" si="713"/>
        <v>0</v>
      </c>
      <c r="U239" s="554">
        <f t="shared" si="696"/>
        <v>0</v>
      </c>
      <c r="V239" s="433">
        <f t="shared" si="697"/>
        <v>0</v>
      </c>
      <c r="W239" s="11"/>
      <c r="X239" s="11"/>
      <c r="Y239" s="556">
        <f t="shared" si="698"/>
        <v>0</v>
      </c>
      <c r="Z239" s="11">
        <f t="shared" si="699"/>
        <v>0</v>
      </c>
      <c r="AA239" s="11"/>
      <c r="AB239" s="11"/>
      <c r="AC239" s="554">
        <f t="shared" si="700"/>
        <v>0</v>
      </c>
      <c r="AD239" s="433">
        <f t="shared" si="701"/>
        <v>0</v>
      </c>
      <c r="AE239" s="11">
        <f t="shared" si="702"/>
        <v>0</v>
      </c>
      <c r="AF239" s="11">
        <f t="shared" si="702"/>
        <v>0</v>
      </c>
      <c r="AG239" s="739">
        <f t="shared" si="703"/>
        <v>0</v>
      </c>
      <c r="AH239" s="11"/>
      <c r="AI239" s="1084"/>
      <c r="AJ239" s="850"/>
      <c r="AK239" s="850"/>
      <c r="AL239" s="557"/>
      <c r="AM239" s="557">
        <f t="shared" si="643"/>
        <v>0</v>
      </c>
      <c r="AN239" s="1233"/>
      <c r="AO239" s="17"/>
      <c r="AP239" s="17"/>
      <c r="AQ239" s="554">
        <f t="shared" si="714"/>
        <v>0</v>
      </c>
      <c r="AR239" s="558">
        <f t="shared" si="694"/>
        <v>0</v>
      </c>
      <c r="AS239" s="433">
        <f t="shared" si="704"/>
        <v>0</v>
      </c>
      <c r="AT239" s="433">
        <f t="shared" si="715"/>
        <v>0</v>
      </c>
      <c r="AU239" s="433">
        <f t="shared" si="705"/>
        <v>0</v>
      </c>
      <c r="AV239" s="558">
        <f t="shared" si="587"/>
        <v>0</v>
      </c>
      <c r="AW239" s="433">
        <f t="shared" si="706"/>
        <v>0</v>
      </c>
      <c r="AX239" s="433">
        <f t="shared" si="707"/>
        <v>0</v>
      </c>
      <c r="AY239" s="433">
        <f t="shared" si="707"/>
        <v>0</v>
      </c>
      <c r="AZ239" s="740">
        <f t="shared" si="716"/>
        <v>0</v>
      </c>
      <c r="BA239" s="740">
        <f t="shared" si="708"/>
        <v>0</v>
      </c>
      <c r="BB239" s="741">
        <f t="shared" si="717"/>
        <v>0</v>
      </c>
      <c r="BC239" s="739">
        <f t="shared" si="718"/>
        <v>0</v>
      </c>
      <c r="BD239" s="544"/>
      <c r="BE239" s="11"/>
      <c r="BF239" s="445"/>
      <c r="BG239" s="11"/>
      <c r="BH239" s="872"/>
    </row>
    <row r="240" spans="1:61">
      <c r="A240" s="11">
        <v>7</v>
      </c>
      <c r="B240" s="1131" t="s">
        <v>814</v>
      </c>
      <c r="C240" s="17">
        <v>266.89999999999998</v>
      </c>
      <c r="D240" s="17">
        <v>12.7</v>
      </c>
      <c r="E240" s="11">
        <v>30155.3</v>
      </c>
      <c r="F240" s="11">
        <v>1137.4000000000001</v>
      </c>
      <c r="G240" s="555">
        <v>9415.2900000000009</v>
      </c>
      <c r="H240" s="545">
        <f t="shared" si="709"/>
        <v>30155.3</v>
      </c>
      <c r="I240" s="11">
        <f t="shared" si="695"/>
        <v>30097.399999999998</v>
      </c>
      <c r="J240" s="11">
        <v>0</v>
      </c>
      <c r="K240" s="11">
        <v>57.9</v>
      </c>
      <c r="L240" s="684" t="e">
        <f t="shared" si="710"/>
        <v>#REF!</v>
      </c>
      <c r="M240" s="11" t="e">
        <f t="shared" si="711"/>
        <v>#REF!</v>
      </c>
      <c r="N240" s="862">
        <f t="shared" si="712"/>
        <v>10.900000000000034</v>
      </c>
      <c r="O240" s="439" t="e">
        <f>'[8]Смарт 2015'!L234</f>
        <v>#REF!</v>
      </c>
      <c r="P240" s="444">
        <v>277.8</v>
      </c>
      <c r="Q240" s="17">
        <v>16.5</v>
      </c>
      <c r="R240" s="555">
        <v>9415.2900000000009</v>
      </c>
      <c r="S240" s="555">
        <f>ROUND(F240/D240/12*1000,2)</f>
        <v>7463.25</v>
      </c>
      <c r="T240" s="554">
        <f t="shared" si="713"/>
        <v>32864534.239999998</v>
      </c>
      <c r="U240" s="554">
        <f t="shared" si="696"/>
        <v>31386810.739999998</v>
      </c>
      <c r="V240" s="433">
        <f t="shared" si="697"/>
        <v>31320610.739999998</v>
      </c>
      <c r="W240" s="11"/>
      <c r="X240" s="11">
        <v>66200</v>
      </c>
      <c r="Y240" s="556">
        <f t="shared" si="698"/>
        <v>1477723.5</v>
      </c>
      <c r="Z240" s="11">
        <f t="shared" si="699"/>
        <v>1477723.5</v>
      </c>
      <c r="AA240" s="11"/>
      <c r="AB240" s="11"/>
      <c r="AC240" s="554">
        <f t="shared" si="700"/>
        <v>32864534.239999998</v>
      </c>
      <c r="AD240" s="433">
        <f t="shared" si="701"/>
        <v>32798334.239999998</v>
      </c>
      <c r="AE240" s="11">
        <f t="shared" si="702"/>
        <v>0</v>
      </c>
      <c r="AF240" s="11">
        <f t="shared" si="702"/>
        <v>66200</v>
      </c>
      <c r="AG240" s="739">
        <f t="shared" si="703"/>
        <v>42703431.18</v>
      </c>
      <c r="AH240" s="11"/>
      <c r="AI240" s="1084"/>
      <c r="AJ240" s="850"/>
      <c r="AK240" s="850"/>
      <c r="AL240" s="557">
        <v>9415.2900000000009</v>
      </c>
      <c r="AM240" s="557">
        <f t="shared" si="643"/>
        <v>7463.25</v>
      </c>
      <c r="AN240" s="1233">
        <f>AO240-P240</f>
        <v>0.19999999999998863</v>
      </c>
      <c r="AO240" s="17">
        <v>278</v>
      </c>
      <c r="AP240" s="17">
        <v>17</v>
      </c>
      <c r="AQ240" s="554">
        <f t="shared" si="714"/>
        <v>32931910.399999999</v>
      </c>
      <c r="AR240" s="558">
        <f t="shared" si="694"/>
        <v>31409407.399999999</v>
      </c>
      <c r="AS240" s="433">
        <f t="shared" si="704"/>
        <v>31343207.399999999</v>
      </c>
      <c r="AT240" s="433">
        <f t="shared" si="715"/>
        <v>0</v>
      </c>
      <c r="AU240" s="433">
        <f t="shared" si="705"/>
        <v>66200</v>
      </c>
      <c r="AV240" s="558">
        <f t="shared" si="587"/>
        <v>1522503</v>
      </c>
      <c r="AW240" s="433">
        <f t="shared" si="706"/>
        <v>1522503</v>
      </c>
      <c r="AX240" s="433">
        <f t="shared" si="707"/>
        <v>0</v>
      </c>
      <c r="AY240" s="433">
        <f t="shared" si="707"/>
        <v>0</v>
      </c>
      <c r="AZ240" s="740">
        <f t="shared" si="716"/>
        <v>0</v>
      </c>
      <c r="BA240" s="740">
        <f t="shared" si="708"/>
        <v>66200</v>
      </c>
      <c r="BB240" s="741">
        <f t="shared" si="717"/>
        <v>32865710.399999999</v>
      </c>
      <c r="BC240" s="739">
        <f t="shared" si="718"/>
        <v>42791154.899999999</v>
      </c>
      <c r="BD240" s="544"/>
      <c r="BE240" s="11"/>
      <c r="BF240" s="445"/>
      <c r="BG240" s="11"/>
      <c r="BH240" s="872"/>
    </row>
    <row r="241" spans="1:61">
      <c r="A241" s="872"/>
      <c r="B241" s="1132" t="s">
        <v>815</v>
      </c>
      <c r="C241" s="1134"/>
      <c r="D241" s="1134"/>
      <c r="E241" s="872"/>
      <c r="F241" s="872"/>
      <c r="G241" s="1135"/>
      <c r="H241" s="1136"/>
      <c r="I241" s="872"/>
      <c r="J241" s="872"/>
      <c r="K241" s="872"/>
      <c r="L241" s="1159"/>
      <c r="M241" s="872"/>
      <c r="N241" s="1137"/>
      <c r="O241" s="872"/>
      <c r="P241" s="1134"/>
      <c r="Q241" s="1134"/>
      <c r="R241" s="1135"/>
      <c r="S241" s="1135"/>
      <c r="T241" s="1140"/>
      <c r="U241" s="1140"/>
      <c r="V241" s="1142"/>
      <c r="W241" s="872"/>
      <c r="X241" s="872"/>
      <c r="Y241" s="1141"/>
      <c r="Z241" s="872"/>
      <c r="AA241" s="872"/>
      <c r="AB241" s="872"/>
      <c r="AC241" s="1140"/>
      <c r="AD241" s="1142"/>
      <c r="AE241" s="872"/>
      <c r="AF241" s="872"/>
      <c r="AG241" s="1160"/>
      <c r="AH241" s="872"/>
      <c r="AI241" s="1144"/>
      <c r="AJ241" s="850"/>
      <c r="AK241" s="850"/>
      <c r="AL241" s="1135"/>
      <c r="AM241" s="1135"/>
      <c r="AN241" s="1233"/>
      <c r="AO241" s="1134"/>
      <c r="AP241" s="1134"/>
      <c r="AQ241" s="1140"/>
      <c r="AR241" s="1161"/>
      <c r="AS241" s="1142"/>
      <c r="AT241" s="1142"/>
      <c r="AU241" s="1142"/>
      <c r="AV241" s="1161"/>
      <c r="AW241" s="1142"/>
      <c r="AX241" s="1142"/>
      <c r="AY241" s="1142"/>
      <c r="AZ241" s="1042"/>
      <c r="BA241" s="1042"/>
      <c r="BB241" s="1162"/>
      <c r="BC241" s="1160"/>
      <c r="BD241" s="1143"/>
      <c r="BE241" s="872"/>
      <c r="BF241" s="1144"/>
      <c r="BG241" s="872"/>
      <c r="BH241" s="872"/>
    </row>
    <row r="242" spans="1:61" s="583" customFormat="1" ht="19.149999999999999" customHeight="1">
      <c r="A242" s="584">
        <v>26</v>
      </c>
      <c r="B242" s="585" t="s">
        <v>641</v>
      </c>
      <c r="C242" s="584">
        <f>C243+C244+C245+C246+C247+C248+C249</f>
        <v>428.69999999999993</v>
      </c>
      <c r="D242" s="584">
        <f>D243+D244+D245+D246+D247+D248+D249</f>
        <v>17.399999999999999</v>
      </c>
      <c r="E242" s="584">
        <f>SUM(E243:E249)</f>
        <v>103549.1</v>
      </c>
      <c r="F242" s="584">
        <f t="shared" ref="F242:AG242" si="719">F243+F244+F245+F246+F247+F248+F249</f>
        <v>2477.3000000000002</v>
      </c>
      <c r="G242" s="586">
        <v>20191.47</v>
      </c>
      <c r="H242" s="584">
        <f t="shared" si="719"/>
        <v>103549.1</v>
      </c>
      <c r="I242" s="584">
        <f t="shared" si="719"/>
        <v>103225.20000000001</v>
      </c>
      <c r="J242" s="584">
        <f t="shared" si="719"/>
        <v>323.90000000000003</v>
      </c>
      <c r="K242" s="584">
        <f t="shared" si="719"/>
        <v>0</v>
      </c>
      <c r="L242" s="584" t="e">
        <f t="shared" si="719"/>
        <v>#REF!</v>
      </c>
      <c r="M242" s="584" t="e">
        <f t="shared" si="719"/>
        <v>#REF!</v>
      </c>
      <c r="N242" s="584">
        <f t="shared" si="719"/>
        <v>6.8000000000000256</v>
      </c>
      <c r="O242" s="587" t="e">
        <f t="shared" si="719"/>
        <v>#REF!</v>
      </c>
      <c r="P242" s="588">
        <f t="shared" si="719"/>
        <v>435.5</v>
      </c>
      <c r="Q242" s="584">
        <f t="shared" si="719"/>
        <v>22.7</v>
      </c>
      <c r="R242" s="586">
        <v>20191.47</v>
      </c>
      <c r="S242" s="586"/>
      <c r="T242" s="589">
        <f>SUM(T243:T249)</f>
        <v>106283098.75</v>
      </c>
      <c r="U242" s="584">
        <f t="shared" ref="U242:AB242" si="720">U243+U244+U245+U246+U247+U248+U249</f>
        <v>103833499.92000002</v>
      </c>
      <c r="V242" s="584">
        <f t="shared" si="720"/>
        <v>103833141.02000001</v>
      </c>
      <c r="W242" s="584">
        <f t="shared" si="720"/>
        <v>358.9</v>
      </c>
      <c r="X242" s="584">
        <f t="shared" si="720"/>
        <v>0</v>
      </c>
      <c r="Y242" s="584">
        <f t="shared" si="720"/>
        <v>2449598.83</v>
      </c>
      <c r="Z242" s="584">
        <f t="shared" si="720"/>
        <v>2449598.83</v>
      </c>
      <c r="AA242" s="584">
        <f t="shared" si="720"/>
        <v>0</v>
      </c>
      <c r="AB242" s="584">
        <f t="shared" si="720"/>
        <v>0</v>
      </c>
      <c r="AC242" s="584">
        <f t="shared" si="719"/>
        <v>106283098.75</v>
      </c>
      <c r="AD242" s="584">
        <f t="shared" si="719"/>
        <v>106282739.84999999</v>
      </c>
      <c r="AE242" s="584">
        <f t="shared" si="719"/>
        <v>358.9</v>
      </c>
      <c r="AF242" s="584">
        <f t="shared" si="719"/>
        <v>0</v>
      </c>
      <c r="AG242" s="584">
        <f t="shared" si="719"/>
        <v>138380127.28</v>
      </c>
      <c r="AH242" s="586">
        <v>10024416</v>
      </c>
      <c r="AI242" s="1088">
        <v>147937777.94</v>
      </c>
      <c r="AJ242" s="765">
        <f>AH242+AG242</f>
        <v>148404543.28</v>
      </c>
      <c r="AK242" s="876">
        <f>AJ242-AI242</f>
        <v>466765.34000000358</v>
      </c>
      <c r="AL242" s="591">
        <v>20191.47</v>
      </c>
      <c r="AM242" s="586">
        <f t="shared" si="643"/>
        <v>0</v>
      </c>
      <c r="AN242" s="584">
        <f>AN243+AN244+AN245+AN246+AN247+AN248+AN249</f>
        <v>14.5</v>
      </c>
      <c r="AO242" s="584">
        <f>AO243+AO244+AO245+AO246+AO247+AO248+AO249</f>
        <v>450</v>
      </c>
      <c r="AP242" s="584">
        <f t="shared" ref="AP242:BC242" si="721">AP243+AP244+AP245+AP246+AP247+AP248+AP249</f>
        <v>13.5</v>
      </c>
      <c r="AQ242" s="589">
        <f>SUM(AQ243:AQ249)</f>
        <v>108069733.04000001</v>
      </c>
      <c r="AR242" s="584">
        <f t="shared" si="694"/>
        <v>109033938</v>
      </c>
      <c r="AS242" s="584">
        <f t="shared" si="721"/>
        <v>106604296.89999999</v>
      </c>
      <c r="AT242" s="584">
        <f t="shared" si="721"/>
        <v>358.9</v>
      </c>
      <c r="AU242" s="584">
        <f t="shared" si="721"/>
        <v>0</v>
      </c>
      <c r="AV242" s="584">
        <f t="shared" si="587"/>
        <v>0</v>
      </c>
      <c r="AW242" s="584">
        <f>AW243+AW244+AW245+AW246+AW247+AW248+AW249</f>
        <v>1465077.24</v>
      </c>
      <c r="AX242" s="584">
        <f t="shared" si="721"/>
        <v>0</v>
      </c>
      <c r="AY242" s="584">
        <f t="shared" si="721"/>
        <v>0</v>
      </c>
      <c r="AZ242" s="584">
        <f t="shared" si="721"/>
        <v>358.9</v>
      </c>
      <c r="BA242" s="584">
        <f t="shared" si="721"/>
        <v>0</v>
      </c>
      <c r="BB242" s="584">
        <f t="shared" si="721"/>
        <v>108069374.14</v>
      </c>
      <c r="BC242" s="584">
        <f t="shared" si="721"/>
        <v>140706325.19999999</v>
      </c>
      <c r="BD242" s="586">
        <v>10142001</v>
      </c>
      <c r="BE242" s="592">
        <f>BD242+BC242</f>
        <v>150848326.19999999</v>
      </c>
      <c r="BF242" s="590">
        <v>147937777.94</v>
      </c>
      <c r="BG242" s="806">
        <f>BE242-BF242</f>
        <v>2910548.2599999905</v>
      </c>
      <c r="BH242" s="876">
        <f>AG242+AH242</f>
        <v>148404543.28</v>
      </c>
      <c r="BI242" s="876">
        <f>BH242-AI242</f>
        <v>466765.34000000358</v>
      </c>
    </row>
    <row r="243" spans="1:61" s="583" customFormat="1">
      <c r="A243" s="593">
        <v>1</v>
      </c>
      <c r="B243" s="594" t="s">
        <v>71</v>
      </c>
      <c r="C243" s="595">
        <v>6</v>
      </c>
      <c r="D243" s="595"/>
      <c r="E243" s="593">
        <v>4023.9</v>
      </c>
      <c r="F243" s="593"/>
      <c r="G243" s="596">
        <v>55887.5</v>
      </c>
      <c r="H243" s="584">
        <f>I243+J243+K243</f>
        <v>4023.9</v>
      </c>
      <c r="I243" s="593">
        <f t="shared" ref="I243:I249" si="722">E243-K243-J243</f>
        <v>4023.9</v>
      </c>
      <c r="J243" s="593">
        <v>0</v>
      </c>
      <c r="K243" s="593">
        <v>0</v>
      </c>
      <c r="L243" s="684">
        <f>M243+O243</f>
        <v>0</v>
      </c>
      <c r="M243" s="11">
        <f>F243-O243</f>
        <v>0</v>
      </c>
      <c r="N243" s="862">
        <f>P243-C243</f>
        <v>0</v>
      </c>
      <c r="O243" s="597"/>
      <c r="P243" s="598">
        <v>6</v>
      </c>
      <c r="Q243" s="595"/>
      <c r="R243" s="596">
        <v>53508.33</v>
      </c>
      <c r="S243" s="596"/>
      <c r="T243" s="599">
        <f>U243+Y243</f>
        <v>3852599.76</v>
      </c>
      <c r="U243" s="600">
        <f t="shared" ref="U243:U249" si="723">ROUND(R243*P243*12,2)</f>
        <v>3852599.76</v>
      </c>
      <c r="V243" s="601">
        <f t="shared" ref="V243:V249" si="724">U243-W243-X243</f>
        <v>3852599.76</v>
      </c>
      <c r="W243" s="593"/>
      <c r="X243" s="593"/>
      <c r="Y243" s="600">
        <f t="shared" ref="Y243:Y249" si="725">ROUND(S243*Q243*12,2)</f>
        <v>0</v>
      </c>
      <c r="Z243" s="593">
        <f t="shared" ref="Z243:Z249" si="726">Y243-AA243-AB243</f>
        <v>0</v>
      </c>
      <c r="AA243" s="593"/>
      <c r="AB243" s="593"/>
      <c r="AC243" s="599">
        <f t="shared" ref="AC243:AC249" si="727">AD243+AE243+AF243</f>
        <v>3852599.76</v>
      </c>
      <c r="AD243" s="601">
        <f t="shared" ref="AD243:AD249" si="728">ROUND((Z243+V243),2)</f>
        <v>3852599.76</v>
      </c>
      <c r="AE243" s="593">
        <f t="shared" ref="AE243:AF249" si="729">AA243+W243</f>
        <v>0</v>
      </c>
      <c r="AF243" s="593">
        <f t="shared" si="729"/>
        <v>0</v>
      </c>
      <c r="AG243" s="807">
        <f t="shared" ref="AG243:AG249" si="730">ROUND(AD243*1.302,2)</f>
        <v>5016084.8899999997</v>
      </c>
      <c r="AH243" s="593"/>
      <c r="AI243" s="1090"/>
      <c r="AJ243" s="1094"/>
      <c r="AK243" s="1094"/>
      <c r="AL243" s="604">
        <v>53508.33</v>
      </c>
      <c r="AM243" s="596">
        <f t="shared" si="643"/>
        <v>0</v>
      </c>
      <c r="AN243" s="1233"/>
      <c r="AO243" s="595">
        <v>6</v>
      </c>
      <c r="AP243" s="595"/>
      <c r="AQ243" s="599">
        <f>AR243+AV243</f>
        <v>3852599.8</v>
      </c>
      <c r="AR243" s="584">
        <f t="shared" si="694"/>
        <v>3852599.8</v>
      </c>
      <c r="AS243" s="593">
        <f t="shared" ref="AS243:AS249" si="731">AR243-AT243-AU243</f>
        <v>3852599.8</v>
      </c>
      <c r="AT243" s="593">
        <f>W243</f>
        <v>0</v>
      </c>
      <c r="AU243" s="593">
        <f t="shared" ref="AU243:AU249" si="732">X243</f>
        <v>0</v>
      </c>
      <c r="AV243" s="584">
        <f t="shared" si="587"/>
        <v>0</v>
      </c>
      <c r="AW243" s="593">
        <f t="shared" ref="AW243:AW249" si="733">AV243-AX243-AY243</f>
        <v>0</v>
      </c>
      <c r="AX243" s="593">
        <f t="shared" ref="AX243:AY249" si="734">AA243</f>
        <v>0</v>
      </c>
      <c r="AY243" s="593">
        <f t="shared" si="734"/>
        <v>0</v>
      </c>
      <c r="AZ243" s="605">
        <f>AX243+AT243</f>
        <v>0</v>
      </c>
      <c r="BA243" s="605">
        <f t="shared" ref="BA243:BA249" si="735">AY243+AU243</f>
        <v>0</v>
      </c>
      <c r="BB243" s="606">
        <f>AW243+AS243</f>
        <v>3852599.8</v>
      </c>
      <c r="BC243" s="602">
        <f>ROUND(BB243*1.302,1)</f>
        <v>5016084.9000000004</v>
      </c>
      <c r="BD243" s="602"/>
      <c r="BE243" s="593"/>
      <c r="BF243" s="603"/>
      <c r="BG243" s="593"/>
      <c r="BH243" s="871"/>
    </row>
    <row r="244" spans="1:61" s="583" customFormat="1">
      <c r="A244" s="593">
        <v>2</v>
      </c>
      <c r="B244" s="594" t="s">
        <v>72</v>
      </c>
      <c r="C244" s="595">
        <v>26.4</v>
      </c>
      <c r="D244" s="595">
        <v>0</v>
      </c>
      <c r="E244" s="593">
        <v>10451.200000000001</v>
      </c>
      <c r="F244" s="593"/>
      <c r="G244" s="596">
        <v>33073.86</v>
      </c>
      <c r="H244" s="584">
        <f t="shared" ref="H244:H249" si="736">I244+J244+K244</f>
        <v>10451.200000000001</v>
      </c>
      <c r="I244" s="593">
        <f t="shared" si="722"/>
        <v>10424.6</v>
      </c>
      <c r="J244" s="593">
        <v>26.6</v>
      </c>
      <c r="K244" s="593">
        <v>0</v>
      </c>
      <c r="L244" s="684" t="e">
        <f t="shared" ref="L244:L249" si="737">M244+O244</f>
        <v>#REF!</v>
      </c>
      <c r="M244" s="11" t="e">
        <f t="shared" ref="M244:M249" si="738">F244-O244</f>
        <v>#REF!</v>
      </c>
      <c r="N244" s="862">
        <f t="shared" ref="N244:N249" si="739">P244-C244</f>
        <v>0.10000000000000142</v>
      </c>
      <c r="O244" s="597" t="e">
        <f>'[9]Смарт 2015'!L238</f>
        <v>#REF!</v>
      </c>
      <c r="P244" s="598">
        <v>26.5</v>
      </c>
      <c r="Q244" s="595"/>
      <c r="R244" s="596">
        <v>33955.660000000003</v>
      </c>
      <c r="S244" s="596"/>
      <c r="T244" s="599">
        <f t="shared" ref="T244:T249" si="740">U244+Y244</f>
        <v>10797899.880000001</v>
      </c>
      <c r="U244" s="600">
        <f t="shared" si="723"/>
        <v>10797899.880000001</v>
      </c>
      <c r="V244" s="601">
        <f t="shared" si="724"/>
        <v>10797887.880000001</v>
      </c>
      <c r="W244" s="593">
        <v>12</v>
      </c>
      <c r="X244" s="593"/>
      <c r="Y244" s="600">
        <f t="shared" si="725"/>
        <v>0</v>
      </c>
      <c r="Z244" s="593">
        <f t="shared" si="726"/>
        <v>0</v>
      </c>
      <c r="AA244" s="593"/>
      <c r="AB244" s="593"/>
      <c r="AC244" s="599">
        <f t="shared" si="727"/>
        <v>10797899.880000001</v>
      </c>
      <c r="AD244" s="601">
        <f t="shared" si="728"/>
        <v>10797887.880000001</v>
      </c>
      <c r="AE244" s="593">
        <f t="shared" si="729"/>
        <v>12</v>
      </c>
      <c r="AF244" s="593">
        <f t="shared" si="729"/>
        <v>0</v>
      </c>
      <c r="AG244" s="807">
        <f t="shared" si="730"/>
        <v>14058850.02</v>
      </c>
      <c r="AH244" s="593"/>
      <c r="AI244" s="1090"/>
      <c r="AJ244" s="1094"/>
      <c r="AK244" s="1094"/>
      <c r="AL244" s="604">
        <v>33955.660000000003</v>
      </c>
      <c r="AM244" s="596">
        <f t="shared" si="643"/>
        <v>0</v>
      </c>
      <c r="AN244" s="1233">
        <f>AO244-P244</f>
        <v>-0.5</v>
      </c>
      <c r="AO244" s="595">
        <v>26</v>
      </c>
      <c r="AP244" s="595"/>
      <c r="AQ244" s="599">
        <f t="shared" ref="AQ244:AQ249" si="741">AR244+AV244</f>
        <v>10594165.9</v>
      </c>
      <c r="AR244" s="584">
        <f t="shared" si="694"/>
        <v>10594165.9</v>
      </c>
      <c r="AS244" s="593">
        <f t="shared" si="731"/>
        <v>10594153.9</v>
      </c>
      <c r="AT244" s="593">
        <f t="shared" ref="AT244:AT249" si="742">W244</f>
        <v>12</v>
      </c>
      <c r="AU244" s="593">
        <f t="shared" si="732"/>
        <v>0</v>
      </c>
      <c r="AV244" s="584">
        <f t="shared" si="587"/>
        <v>0</v>
      </c>
      <c r="AW244" s="593">
        <f t="shared" si="733"/>
        <v>0</v>
      </c>
      <c r="AX244" s="593">
        <f t="shared" si="734"/>
        <v>0</v>
      </c>
      <c r="AY244" s="593">
        <f t="shared" si="734"/>
        <v>0</v>
      </c>
      <c r="AZ244" s="605">
        <f t="shared" ref="AZ244:AZ249" si="743">AX244+AT244</f>
        <v>12</v>
      </c>
      <c r="BA244" s="605">
        <f t="shared" si="735"/>
        <v>0</v>
      </c>
      <c r="BB244" s="606">
        <f t="shared" ref="BB244:BB249" si="744">AW244+AS244</f>
        <v>10594153.9</v>
      </c>
      <c r="BC244" s="602">
        <f t="shared" ref="BC244:BC249" si="745">ROUND(BB244*1.302,1)</f>
        <v>13793588.4</v>
      </c>
      <c r="BD244" s="602"/>
      <c r="BE244" s="593"/>
      <c r="BF244" s="603"/>
      <c r="BG244" s="593"/>
      <c r="BH244" s="871"/>
    </row>
    <row r="245" spans="1:61" s="583" customFormat="1">
      <c r="A245" s="593">
        <v>3</v>
      </c>
      <c r="B245" s="607" t="s">
        <v>76</v>
      </c>
      <c r="C245" s="595">
        <v>238.7</v>
      </c>
      <c r="D245" s="595">
        <v>8.6</v>
      </c>
      <c r="E245" s="593">
        <v>64605.8</v>
      </c>
      <c r="F245" s="593">
        <v>1498.5</v>
      </c>
      <c r="G245" s="596">
        <v>22657.03</v>
      </c>
      <c r="H245" s="584">
        <f t="shared" si="736"/>
        <v>64605.8</v>
      </c>
      <c r="I245" s="593">
        <f t="shared" si="722"/>
        <v>64312.800000000003</v>
      </c>
      <c r="J245" s="593">
        <v>293</v>
      </c>
      <c r="K245" s="593">
        <v>0</v>
      </c>
      <c r="L245" s="684" t="e">
        <f t="shared" si="737"/>
        <v>#REF!</v>
      </c>
      <c r="M245" s="11" t="e">
        <f t="shared" si="738"/>
        <v>#REF!</v>
      </c>
      <c r="N245" s="862">
        <f t="shared" si="739"/>
        <v>10.300000000000011</v>
      </c>
      <c r="O245" s="597" t="e">
        <f>'[9]Смарт 2015'!L231</f>
        <v>#REF!</v>
      </c>
      <c r="P245" s="598">
        <v>249</v>
      </c>
      <c r="Q245" s="595">
        <v>12.7</v>
      </c>
      <c r="R245" s="608">
        <v>22379.15</v>
      </c>
      <c r="S245" s="596">
        <v>9939.6299999999992</v>
      </c>
      <c r="T245" s="599">
        <f t="shared" si="740"/>
        <v>68383699.810000002</v>
      </c>
      <c r="U245" s="600">
        <f t="shared" si="723"/>
        <v>66868900.200000003</v>
      </c>
      <c r="V245" s="601">
        <f t="shared" si="724"/>
        <v>66868557.300000004</v>
      </c>
      <c r="W245" s="593">
        <v>342.9</v>
      </c>
      <c r="X245" s="593"/>
      <c r="Y245" s="600">
        <f t="shared" si="725"/>
        <v>1514799.61</v>
      </c>
      <c r="Z245" s="593">
        <f t="shared" si="726"/>
        <v>1514799.61</v>
      </c>
      <c r="AA245" s="593"/>
      <c r="AB245" s="593"/>
      <c r="AC245" s="599">
        <f t="shared" si="727"/>
        <v>68383699.810000002</v>
      </c>
      <c r="AD245" s="601">
        <f t="shared" si="728"/>
        <v>68383356.909999996</v>
      </c>
      <c r="AE245" s="593">
        <f t="shared" si="729"/>
        <v>342.9</v>
      </c>
      <c r="AF245" s="593">
        <f t="shared" si="729"/>
        <v>0</v>
      </c>
      <c r="AG245" s="807">
        <f t="shared" si="730"/>
        <v>89035130.700000003</v>
      </c>
      <c r="AH245" s="593"/>
      <c r="AI245" s="1090"/>
      <c r="AJ245" s="1094"/>
      <c r="AK245" s="1094"/>
      <c r="AL245" s="604">
        <v>22379.15</v>
      </c>
      <c r="AM245" s="596">
        <f t="shared" si="643"/>
        <v>9939.6299999999992</v>
      </c>
      <c r="AN245" s="1233">
        <f>AO245-P245</f>
        <v>7</v>
      </c>
      <c r="AO245" s="595">
        <v>256</v>
      </c>
      <c r="AP245" s="595">
        <v>6.5</v>
      </c>
      <c r="AQ245" s="599">
        <f t="shared" si="741"/>
        <v>69524039.939999998</v>
      </c>
      <c r="AR245" s="584">
        <f t="shared" si="694"/>
        <v>68748748.799999997</v>
      </c>
      <c r="AS245" s="593">
        <f t="shared" si="731"/>
        <v>68748405.899999991</v>
      </c>
      <c r="AT245" s="593">
        <f t="shared" si="742"/>
        <v>342.9</v>
      </c>
      <c r="AU245" s="593">
        <f t="shared" si="732"/>
        <v>0</v>
      </c>
      <c r="AV245" s="584">
        <f t="shared" si="587"/>
        <v>775291.14</v>
      </c>
      <c r="AW245" s="593">
        <f t="shared" si="733"/>
        <v>775291.14</v>
      </c>
      <c r="AX245" s="593">
        <f t="shared" si="734"/>
        <v>0</v>
      </c>
      <c r="AY245" s="593">
        <f t="shared" si="734"/>
        <v>0</v>
      </c>
      <c r="AZ245" s="605">
        <f t="shared" si="743"/>
        <v>342.9</v>
      </c>
      <c r="BA245" s="605">
        <f t="shared" si="735"/>
        <v>0</v>
      </c>
      <c r="BB245" s="606">
        <f t="shared" si="744"/>
        <v>69523697.039999992</v>
      </c>
      <c r="BC245" s="602">
        <f t="shared" si="745"/>
        <v>90519853.5</v>
      </c>
      <c r="BD245" s="602"/>
      <c r="BE245" s="593"/>
      <c r="BF245" s="603"/>
      <c r="BG245" s="593"/>
      <c r="BH245" s="871"/>
    </row>
    <row r="246" spans="1:61" s="583" customFormat="1">
      <c r="A246" s="593">
        <v>4</v>
      </c>
      <c r="B246" s="607" t="s">
        <v>77</v>
      </c>
      <c r="C246" s="595">
        <v>19.399999999999999</v>
      </c>
      <c r="D246" s="595">
        <v>1.2</v>
      </c>
      <c r="E246" s="593">
        <v>4034.5</v>
      </c>
      <c r="F246" s="593">
        <v>134.19999999999999</v>
      </c>
      <c r="G246" s="596">
        <v>17330.330000000002</v>
      </c>
      <c r="H246" s="584">
        <f t="shared" si="736"/>
        <v>4034.5</v>
      </c>
      <c r="I246" s="593">
        <f t="shared" si="722"/>
        <v>4034.5</v>
      </c>
      <c r="J246" s="593"/>
      <c r="K246" s="593">
        <v>0</v>
      </c>
      <c r="L246" s="684" t="e">
        <f t="shared" si="737"/>
        <v>#REF!</v>
      </c>
      <c r="M246" s="11" t="e">
        <f t="shared" si="738"/>
        <v>#REF!</v>
      </c>
      <c r="N246" s="862">
        <f t="shared" si="739"/>
        <v>-2.3999999999999986</v>
      </c>
      <c r="O246" s="597" t="e">
        <f>'[9]Смарт 2015'!L240</f>
        <v>#REF!</v>
      </c>
      <c r="P246" s="598">
        <v>17</v>
      </c>
      <c r="Q246" s="595">
        <v>1</v>
      </c>
      <c r="R246" s="610">
        <v>17296.07</v>
      </c>
      <c r="S246" s="596">
        <v>7000</v>
      </c>
      <c r="T246" s="599">
        <f t="shared" si="740"/>
        <v>3612398.28</v>
      </c>
      <c r="U246" s="600">
        <f t="shared" si="723"/>
        <v>3528398.28</v>
      </c>
      <c r="V246" s="601">
        <f t="shared" si="724"/>
        <v>3528398.28</v>
      </c>
      <c r="W246" s="593"/>
      <c r="X246" s="593"/>
      <c r="Y246" s="600">
        <f t="shared" si="725"/>
        <v>84000</v>
      </c>
      <c r="Z246" s="593">
        <f t="shared" si="726"/>
        <v>84000</v>
      </c>
      <c r="AA246" s="593"/>
      <c r="AB246" s="593"/>
      <c r="AC246" s="599">
        <f t="shared" si="727"/>
        <v>3612398.28</v>
      </c>
      <c r="AD246" s="601">
        <f t="shared" si="728"/>
        <v>3612398.28</v>
      </c>
      <c r="AE246" s="593">
        <f t="shared" si="729"/>
        <v>0</v>
      </c>
      <c r="AF246" s="593">
        <f t="shared" si="729"/>
        <v>0</v>
      </c>
      <c r="AG246" s="807">
        <f t="shared" si="730"/>
        <v>4703342.5599999996</v>
      </c>
      <c r="AH246" s="593"/>
      <c r="AI246" s="1090"/>
      <c r="AJ246" s="1094"/>
      <c r="AK246" s="1094"/>
      <c r="AL246" s="604">
        <v>17296.07</v>
      </c>
      <c r="AM246" s="596">
        <f t="shared" si="643"/>
        <v>7000</v>
      </c>
      <c r="AN246" s="1233"/>
      <c r="AO246" s="595">
        <v>17</v>
      </c>
      <c r="AP246" s="595"/>
      <c r="AQ246" s="599">
        <f t="shared" si="741"/>
        <v>3528398.3</v>
      </c>
      <c r="AR246" s="584">
        <f t="shared" si="694"/>
        <v>3528398.3</v>
      </c>
      <c r="AS246" s="593">
        <f t="shared" si="731"/>
        <v>3528398.3</v>
      </c>
      <c r="AT246" s="593">
        <f t="shared" si="742"/>
        <v>0</v>
      </c>
      <c r="AU246" s="593">
        <f t="shared" si="732"/>
        <v>0</v>
      </c>
      <c r="AV246" s="584">
        <f t="shared" si="587"/>
        <v>0</v>
      </c>
      <c r="AW246" s="593">
        <f t="shared" si="733"/>
        <v>0</v>
      </c>
      <c r="AX246" s="593">
        <f t="shared" si="734"/>
        <v>0</v>
      </c>
      <c r="AY246" s="593">
        <f t="shared" si="734"/>
        <v>0</v>
      </c>
      <c r="AZ246" s="605">
        <f t="shared" si="743"/>
        <v>0</v>
      </c>
      <c r="BA246" s="605">
        <f t="shared" si="735"/>
        <v>0</v>
      </c>
      <c r="BB246" s="606">
        <f t="shared" si="744"/>
        <v>3528398.3</v>
      </c>
      <c r="BC246" s="602">
        <f t="shared" si="745"/>
        <v>4593974.5999999996</v>
      </c>
      <c r="BD246" s="602"/>
      <c r="BE246" s="593"/>
      <c r="BF246" s="603"/>
      <c r="BG246" s="593"/>
      <c r="BH246" s="871"/>
    </row>
    <row r="247" spans="1:61" s="583" customFormat="1">
      <c r="A247" s="593">
        <v>5</v>
      </c>
      <c r="B247" s="594" t="s">
        <v>73</v>
      </c>
      <c r="C247" s="595">
        <v>0</v>
      </c>
      <c r="D247" s="595">
        <v>0.4</v>
      </c>
      <c r="E247" s="593">
        <v>0</v>
      </c>
      <c r="F247" s="593">
        <v>76.099999999999994</v>
      </c>
      <c r="G247" s="596"/>
      <c r="H247" s="584">
        <f t="shared" si="736"/>
        <v>0</v>
      </c>
      <c r="I247" s="593">
        <f t="shared" si="722"/>
        <v>0</v>
      </c>
      <c r="J247" s="593"/>
      <c r="K247" s="593"/>
      <c r="L247" s="684">
        <f t="shared" si="737"/>
        <v>76.099999999999994</v>
      </c>
      <c r="M247" s="11">
        <f t="shared" si="738"/>
        <v>76.099999999999994</v>
      </c>
      <c r="N247" s="862">
        <f t="shared" si="739"/>
        <v>0</v>
      </c>
      <c r="O247" s="597"/>
      <c r="P247" s="598">
        <v>0</v>
      </c>
      <c r="Q247" s="595">
        <v>0.5</v>
      </c>
      <c r="R247" s="596"/>
      <c r="S247" s="596">
        <v>12833.33</v>
      </c>
      <c r="T247" s="599">
        <f t="shared" si="740"/>
        <v>76999.98</v>
      </c>
      <c r="U247" s="600">
        <f t="shared" si="723"/>
        <v>0</v>
      </c>
      <c r="V247" s="601">
        <f t="shared" si="724"/>
        <v>0</v>
      </c>
      <c r="W247" s="593"/>
      <c r="X247" s="593"/>
      <c r="Y247" s="600">
        <f t="shared" si="725"/>
        <v>76999.98</v>
      </c>
      <c r="Z247" s="593">
        <f t="shared" si="726"/>
        <v>76999.98</v>
      </c>
      <c r="AA247" s="593"/>
      <c r="AB247" s="593"/>
      <c r="AC247" s="599">
        <f t="shared" si="727"/>
        <v>76999.98</v>
      </c>
      <c r="AD247" s="601">
        <f t="shared" si="728"/>
        <v>76999.98</v>
      </c>
      <c r="AE247" s="593">
        <f t="shared" si="729"/>
        <v>0</v>
      </c>
      <c r="AF247" s="593">
        <f t="shared" si="729"/>
        <v>0</v>
      </c>
      <c r="AG247" s="807">
        <f t="shared" si="730"/>
        <v>100253.97</v>
      </c>
      <c r="AH247" s="593"/>
      <c r="AI247" s="1090"/>
      <c r="AJ247" s="1094"/>
      <c r="AK247" s="1094"/>
      <c r="AL247" s="604"/>
      <c r="AM247" s="596">
        <f t="shared" si="643"/>
        <v>12833.33</v>
      </c>
      <c r="AN247" s="1233"/>
      <c r="AO247" s="595">
        <v>0</v>
      </c>
      <c r="AP247" s="595">
        <v>0.5</v>
      </c>
      <c r="AQ247" s="599">
        <f t="shared" si="741"/>
        <v>76999.98</v>
      </c>
      <c r="AR247" s="584">
        <f t="shared" si="694"/>
        <v>0</v>
      </c>
      <c r="AS247" s="593">
        <f t="shared" si="731"/>
        <v>0</v>
      </c>
      <c r="AT247" s="593">
        <f t="shared" si="742"/>
        <v>0</v>
      </c>
      <c r="AU247" s="593">
        <f t="shared" si="732"/>
        <v>0</v>
      </c>
      <c r="AV247" s="584">
        <f t="shared" si="587"/>
        <v>76999.98</v>
      </c>
      <c r="AW247" s="593">
        <f t="shared" si="733"/>
        <v>76999.98</v>
      </c>
      <c r="AX247" s="593">
        <f t="shared" si="734"/>
        <v>0</v>
      </c>
      <c r="AY247" s="593">
        <f t="shared" si="734"/>
        <v>0</v>
      </c>
      <c r="AZ247" s="605">
        <f t="shared" si="743"/>
        <v>0</v>
      </c>
      <c r="BA247" s="605">
        <f t="shared" si="735"/>
        <v>0</v>
      </c>
      <c r="BB247" s="606">
        <f t="shared" si="744"/>
        <v>76999.98</v>
      </c>
      <c r="BC247" s="602">
        <f t="shared" si="745"/>
        <v>100254</v>
      </c>
      <c r="BD247" s="602"/>
      <c r="BE247" s="593"/>
      <c r="BF247" s="603"/>
      <c r="BG247" s="593"/>
      <c r="BH247" s="871"/>
    </row>
    <row r="248" spans="1:61" s="583" customFormat="1">
      <c r="A248" s="593">
        <v>6</v>
      </c>
      <c r="B248" s="594" t="s">
        <v>74</v>
      </c>
      <c r="C248" s="595">
        <v>1</v>
      </c>
      <c r="D248" s="595">
        <v>1</v>
      </c>
      <c r="E248" s="593">
        <v>179.3</v>
      </c>
      <c r="F248" s="593">
        <v>179.3</v>
      </c>
      <c r="G248" s="596">
        <v>14941.67</v>
      </c>
      <c r="H248" s="584">
        <f t="shared" si="736"/>
        <v>179.3</v>
      </c>
      <c r="I248" s="593">
        <f t="shared" si="722"/>
        <v>179.3</v>
      </c>
      <c r="J248" s="593"/>
      <c r="K248" s="593"/>
      <c r="L248" s="684" t="e">
        <f t="shared" si="737"/>
        <v>#REF!</v>
      </c>
      <c r="M248" s="11" t="e">
        <f t="shared" si="738"/>
        <v>#REF!</v>
      </c>
      <c r="N248" s="862">
        <f t="shared" si="739"/>
        <v>0</v>
      </c>
      <c r="O248" s="597" t="e">
        <f>'[9]Смарт 2015'!L244</f>
        <v>#REF!</v>
      </c>
      <c r="P248" s="598">
        <v>1</v>
      </c>
      <c r="Q248" s="595">
        <v>1</v>
      </c>
      <c r="R248" s="596">
        <v>14166.67</v>
      </c>
      <c r="S248" s="596">
        <v>14166.67</v>
      </c>
      <c r="T248" s="599">
        <f t="shared" si="740"/>
        <v>340000.08</v>
      </c>
      <c r="U248" s="600">
        <f t="shared" si="723"/>
        <v>170000.04</v>
      </c>
      <c r="V248" s="601">
        <f t="shared" si="724"/>
        <v>170000.04</v>
      </c>
      <c r="W248" s="593"/>
      <c r="X248" s="593"/>
      <c r="Y248" s="600">
        <f t="shared" si="725"/>
        <v>170000.04</v>
      </c>
      <c r="Z248" s="593">
        <f t="shared" si="726"/>
        <v>170000.04</v>
      </c>
      <c r="AA248" s="593"/>
      <c r="AB248" s="593"/>
      <c r="AC248" s="599">
        <f t="shared" si="727"/>
        <v>340000.08</v>
      </c>
      <c r="AD248" s="601">
        <f t="shared" si="728"/>
        <v>340000.08</v>
      </c>
      <c r="AE248" s="593">
        <f t="shared" si="729"/>
        <v>0</v>
      </c>
      <c r="AF248" s="593">
        <f t="shared" si="729"/>
        <v>0</v>
      </c>
      <c r="AG248" s="807">
        <f t="shared" si="730"/>
        <v>442680.1</v>
      </c>
      <c r="AH248" s="593"/>
      <c r="AI248" s="1090"/>
      <c r="AJ248" s="1094"/>
      <c r="AK248" s="1094"/>
      <c r="AL248" s="604">
        <v>14166.67</v>
      </c>
      <c r="AM248" s="596">
        <f t="shared" si="643"/>
        <v>14166.67</v>
      </c>
      <c r="AN248" s="1233"/>
      <c r="AO248" s="595">
        <v>1</v>
      </c>
      <c r="AP248" s="595">
        <v>1</v>
      </c>
      <c r="AQ248" s="599">
        <f t="shared" si="741"/>
        <v>340000.04000000004</v>
      </c>
      <c r="AR248" s="584">
        <f t="shared" si="694"/>
        <v>170000</v>
      </c>
      <c r="AS248" s="593">
        <f t="shared" si="731"/>
        <v>170000</v>
      </c>
      <c r="AT248" s="593">
        <f t="shared" si="742"/>
        <v>0</v>
      </c>
      <c r="AU248" s="593">
        <f t="shared" si="732"/>
        <v>0</v>
      </c>
      <c r="AV248" s="584">
        <f t="shared" si="587"/>
        <v>170000.04</v>
      </c>
      <c r="AW248" s="593">
        <f t="shared" si="733"/>
        <v>170000.04</v>
      </c>
      <c r="AX248" s="593">
        <f t="shared" si="734"/>
        <v>0</v>
      </c>
      <c r="AY248" s="593">
        <f t="shared" si="734"/>
        <v>0</v>
      </c>
      <c r="AZ248" s="605">
        <f t="shared" si="743"/>
        <v>0</v>
      </c>
      <c r="BA248" s="605">
        <f t="shared" si="735"/>
        <v>0</v>
      </c>
      <c r="BB248" s="606">
        <f t="shared" si="744"/>
        <v>340000.04000000004</v>
      </c>
      <c r="BC248" s="602">
        <f t="shared" si="745"/>
        <v>442680.1</v>
      </c>
      <c r="BD248" s="602"/>
      <c r="BE248" s="593"/>
      <c r="BF248" s="603"/>
      <c r="BG248" s="593"/>
      <c r="BH248" s="871"/>
    </row>
    <row r="249" spans="1:61" s="583" customFormat="1">
      <c r="A249" s="593">
        <v>7</v>
      </c>
      <c r="B249" s="1131" t="s">
        <v>814</v>
      </c>
      <c r="C249" s="595">
        <v>137.19999999999999</v>
      </c>
      <c r="D249" s="595">
        <v>6.2</v>
      </c>
      <c r="E249" s="593">
        <v>20254.400000000001</v>
      </c>
      <c r="F249" s="593">
        <v>589.20000000000005</v>
      </c>
      <c r="G249" s="596">
        <v>12304.85</v>
      </c>
      <c r="H249" s="584">
        <f t="shared" si="736"/>
        <v>20254.400000000001</v>
      </c>
      <c r="I249" s="593">
        <f t="shared" si="722"/>
        <v>20250.100000000002</v>
      </c>
      <c r="J249" s="593">
        <v>4.3</v>
      </c>
      <c r="K249" s="593">
        <v>0</v>
      </c>
      <c r="L249" s="684" t="e">
        <f t="shared" si="737"/>
        <v>#REF!</v>
      </c>
      <c r="M249" s="11" t="e">
        <f t="shared" si="738"/>
        <v>#REF!</v>
      </c>
      <c r="N249" s="862">
        <f t="shared" si="739"/>
        <v>-1.1999999999999886</v>
      </c>
      <c r="O249" s="597" t="e">
        <f>'[9]Смарт 2015'!L242</f>
        <v>#REF!</v>
      </c>
      <c r="P249" s="598">
        <v>136</v>
      </c>
      <c r="Q249" s="595">
        <v>7.5</v>
      </c>
      <c r="R249" s="596">
        <v>11406.68</v>
      </c>
      <c r="S249" s="596">
        <v>6708.88</v>
      </c>
      <c r="T249" s="599">
        <f t="shared" si="740"/>
        <v>19219500.960000001</v>
      </c>
      <c r="U249" s="600">
        <f t="shared" si="723"/>
        <v>18615701.760000002</v>
      </c>
      <c r="V249" s="601">
        <f t="shared" si="724"/>
        <v>18615697.760000002</v>
      </c>
      <c r="W249" s="593">
        <v>4</v>
      </c>
      <c r="X249" s="593"/>
      <c r="Y249" s="600">
        <f t="shared" si="725"/>
        <v>603799.19999999995</v>
      </c>
      <c r="Z249" s="593">
        <f t="shared" si="726"/>
        <v>603799.19999999995</v>
      </c>
      <c r="AA249" s="593"/>
      <c r="AB249" s="593"/>
      <c r="AC249" s="599">
        <f t="shared" si="727"/>
        <v>19219500.960000001</v>
      </c>
      <c r="AD249" s="601">
        <f t="shared" si="728"/>
        <v>19219496.960000001</v>
      </c>
      <c r="AE249" s="593">
        <f t="shared" si="729"/>
        <v>4</v>
      </c>
      <c r="AF249" s="593">
        <f t="shared" si="729"/>
        <v>0</v>
      </c>
      <c r="AG249" s="807">
        <f t="shared" si="730"/>
        <v>25023785.039999999</v>
      </c>
      <c r="AH249" s="593"/>
      <c r="AI249" s="1090"/>
      <c r="AJ249" s="1094"/>
      <c r="AK249" s="1094"/>
      <c r="AL249" s="604">
        <v>11406.68</v>
      </c>
      <c r="AM249" s="596">
        <f t="shared" si="643"/>
        <v>6708.88</v>
      </c>
      <c r="AN249" s="1233">
        <f>AO249-P249</f>
        <v>8</v>
      </c>
      <c r="AO249" s="595">
        <v>144</v>
      </c>
      <c r="AP249" s="595">
        <v>5.5</v>
      </c>
      <c r="AQ249" s="599">
        <f t="shared" si="741"/>
        <v>20153529.079999998</v>
      </c>
      <c r="AR249" s="584">
        <f t="shared" si="694"/>
        <v>19710743</v>
      </c>
      <c r="AS249" s="593">
        <f t="shared" si="731"/>
        <v>19710739</v>
      </c>
      <c r="AT249" s="593">
        <f t="shared" si="742"/>
        <v>4</v>
      </c>
      <c r="AU249" s="593">
        <f t="shared" si="732"/>
        <v>0</v>
      </c>
      <c r="AV249" s="584">
        <f t="shared" si="587"/>
        <v>442786.08</v>
      </c>
      <c r="AW249" s="593">
        <f t="shared" si="733"/>
        <v>442786.08</v>
      </c>
      <c r="AX249" s="593">
        <f t="shared" si="734"/>
        <v>0</v>
      </c>
      <c r="AY249" s="593">
        <f t="shared" si="734"/>
        <v>0</v>
      </c>
      <c r="AZ249" s="605">
        <f t="shared" si="743"/>
        <v>4</v>
      </c>
      <c r="BA249" s="605">
        <f t="shared" si="735"/>
        <v>0</v>
      </c>
      <c r="BB249" s="606">
        <f t="shared" si="744"/>
        <v>20153525.079999998</v>
      </c>
      <c r="BC249" s="602">
        <f t="shared" si="745"/>
        <v>26239889.699999999</v>
      </c>
      <c r="BD249" s="602"/>
      <c r="BE249" s="593"/>
      <c r="BF249" s="603"/>
      <c r="BG249" s="593"/>
      <c r="BH249" s="871"/>
    </row>
    <row r="250" spans="1:61" s="583" customFormat="1">
      <c r="A250" s="871"/>
      <c r="B250" s="1132" t="s">
        <v>815</v>
      </c>
      <c r="C250" s="1147"/>
      <c r="D250" s="1147"/>
      <c r="E250" s="871"/>
      <c r="F250" s="871"/>
      <c r="G250" s="1148"/>
      <c r="H250" s="1149"/>
      <c r="I250" s="871"/>
      <c r="J250" s="871"/>
      <c r="K250" s="871"/>
      <c r="L250" s="684"/>
      <c r="M250" s="11"/>
      <c r="N250" s="862"/>
      <c r="O250" s="871"/>
      <c r="P250" s="1147"/>
      <c r="Q250" s="1147"/>
      <c r="R250" s="1148"/>
      <c r="S250" s="1148"/>
      <c r="T250" s="1150"/>
      <c r="U250" s="1151"/>
      <c r="V250" s="1152"/>
      <c r="W250" s="871"/>
      <c r="X250" s="871"/>
      <c r="Y250" s="1151"/>
      <c r="Z250" s="871"/>
      <c r="AA250" s="871"/>
      <c r="AB250" s="871"/>
      <c r="AC250" s="1150"/>
      <c r="AD250" s="1152"/>
      <c r="AE250" s="871"/>
      <c r="AF250" s="871"/>
      <c r="AG250" s="1163"/>
      <c r="AH250" s="871"/>
      <c r="AI250" s="1154"/>
      <c r="AJ250" s="1094"/>
      <c r="AK250" s="1094"/>
      <c r="AL250" s="1148"/>
      <c r="AM250" s="1148"/>
      <c r="AN250" s="1233"/>
      <c r="AO250" s="1147"/>
      <c r="AP250" s="1147"/>
      <c r="AQ250" s="1150"/>
      <c r="AR250" s="1149"/>
      <c r="AS250" s="871"/>
      <c r="AT250" s="871"/>
      <c r="AU250" s="871"/>
      <c r="AV250" s="1149"/>
      <c r="AW250" s="871"/>
      <c r="AX250" s="871"/>
      <c r="AY250" s="871"/>
      <c r="AZ250" s="1155"/>
      <c r="BA250" s="1155"/>
      <c r="BB250" s="1156"/>
      <c r="BC250" s="1153"/>
      <c r="BD250" s="1153"/>
      <c r="BE250" s="871"/>
      <c r="BF250" s="1154"/>
      <c r="BG250" s="871"/>
      <c r="BH250" s="871"/>
    </row>
    <row r="251" spans="1:61" ht="19.149999999999999" customHeight="1">
      <c r="A251" s="545">
        <v>27</v>
      </c>
      <c r="B251" s="426" t="s">
        <v>624</v>
      </c>
      <c r="C251" s="545">
        <f>C252+C253+C254+C255+C256+C257+C258</f>
        <v>354.2</v>
      </c>
      <c r="D251" s="545">
        <f>D252+D253+D254+D255+D256+D257+D258</f>
        <v>15.399999999999999</v>
      </c>
      <c r="E251" s="545">
        <f>SUM(E252:E258)</f>
        <v>72378.3</v>
      </c>
      <c r="F251" s="545">
        <f t="shared" ref="F251:AG251" si="746">F252+F253+F254+F255+F256+F257+F258</f>
        <v>1779.5</v>
      </c>
      <c r="G251" s="558">
        <v>17028.59</v>
      </c>
      <c r="H251" s="545" t="e">
        <f t="shared" si="746"/>
        <v>#REF!</v>
      </c>
      <c r="I251" s="545" t="e">
        <f t="shared" si="746"/>
        <v>#REF!</v>
      </c>
      <c r="J251" s="545">
        <f t="shared" si="746"/>
        <v>0</v>
      </c>
      <c r="K251" s="545" t="e">
        <f t="shared" si="746"/>
        <v>#REF!</v>
      </c>
      <c r="L251" s="545" t="e">
        <f t="shared" si="746"/>
        <v>#REF!</v>
      </c>
      <c r="M251" s="545" t="e">
        <f t="shared" si="746"/>
        <v>#REF!</v>
      </c>
      <c r="N251" s="545">
        <f t="shared" si="746"/>
        <v>-2.1999999999999886</v>
      </c>
      <c r="O251" s="559" t="e">
        <f t="shared" si="746"/>
        <v>#REF!</v>
      </c>
      <c r="P251" s="560">
        <f t="shared" si="746"/>
        <v>352</v>
      </c>
      <c r="Q251" s="545">
        <f t="shared" si="746"/>
        <v>14.3</v>
      </c>
      <c r="R251" s="558">
        <v>17028.59</v>
      </c>
      <c r="S251" s="558"/>
      <c r="T251" s="561">
        <f>SUM(T252:T258)</f>
        <v>73260991.24000001</v>
      </c>
      <c r="U251" s="545">
        <f t="shared" ref="U251:AB251" si="747">U252+U253+U254+U255+U256+U257+U258</f>
        <v>71839391.24000001</v>
      </c>
      <c r="V251" s="545">
        <f t="shared" si="747"/>
        <v>71839391.24000001</v>
      </c>
      <c r="W251" s="545">
        <f t="shared" si="747"/>
        <v>0</v>
      </c>
      <c r="X251" s="545">
        <f t="shared" si="747"/>
        <v>0</v>
      </c>
      <c r="Y251" s="545">
        <f t="shared" si="747"/>
        <v>1421600</v>
      </c>
      <c r="Z251" s="545">
        <f t="shared" si="747"/>
        <v>1421600</v>
      </c>
      <c r="AA251" s="545">
        <f t="shared" si="747"/>
        <v>0</v>
      </c>
      <c r="AB251" s="545">
        <f t="shared" si="747"/>
        <v>0</v>
      </c>
      <c r="AC251" s="545">
        <f t="shared" si="746"/>
        <v>73260991.24000001</v>
      </c>
      <c r="AD251" s="545">
        <f t="shared" si="746"/>
        <v>73260991.24000001</v>
      </c>
      <c r="AE251" s="545">
        <f t="shared" si="746"/>
        <v>0</v>
      </c>
      <c r="AF251" s="545">
        <f t="shared" si="746"/>
        <v>0</v>
      </c>
      <c r="AG251" s="545">
        <f t="shared" si="746"/>
        <v>95385810.590000004</v>
      </c>
      <c r="AH251" s="558">
        <v>7211880.8600000003</v>
      </c>
      <c r="AI251" s="1086">
        <v>101902049.04000001</v>
      </c>
      <c r="AJ251" s="765">
        <f>AH251+AG251</f>
        <v>102597691.45</v>
      </c>
      <c r="AK251" s="876">
        <f>AJ251-AI251</f>
        <v>695642.40999999642</v>
      </c>
      <c r="AL251" s="563">
        <v>17028.59</v>
      </c>
      <c r="AM251" s="563">
        <f t="shared" si="643"/>
        <v>0</v>
      </c>
      <c r="AN251" s="545">
        <f>AN252+AN253+AN254+AN255+AN256+AN257+AN258</f>
        <v>1</v>
      </c>
      <c r="AO251" s="545">
        <f>AO252+AO253+AO254+AO255+AO256+AO257+AO258</f>
        <v>353</v>
      </c>
      <c r="AP251" s="545">
        <f t="shared" ref="AP251:BC251" si="748">AP252+AP253+AP254+AP255+AP256+AP257+AP258</f>
        <v>14.5</v>
      </c>
      <c r="AQ251" s="561">
        <f>SUM(AQ252:AQ258)</f>
        <v>75436606.899999991</v>
      </c>
      <c r="AR251" s="545">
        <f t="shared" si="694"/>
        <v>72133107.200000003</v>
      </c>
      <c r="AS251" s="545">
        <f t="shared" si="748"/>
        <v>73996564.899999991</v>
      </c>
      <c r="AT251" s="545">
        <f t="shared" si="748"/>
        <v>0</v>
      </c>
      <c r="AU251" s="545">
        <f t="shared" si="748"/>
        <v>0</v>
      </c>
      <c r="AV251" s="545">
        <f t="shared" si="748"/>
        <v>1440042</v>
      </c>
      <c r="AW251" s="545">
        <f t="shared" si="748"/>
        <v>1440042</v>
      </c>
      <c r="AX251" s="545">
        <f t="shared" si="748"/>
        <v>0</v>
      </c>
      <c r="AY251" s="545">
        <f t="shared" si="748"/>
        <v>0</v>
      </c>
      <c r="AZ251" s="545">
        <f t="shared" si="748"/>
        <v>0</v>
      </c>
      <c r="BA251" s="545">
        <f t="shared" si="748"/>
        <v>0</v>
      </c>
      <c r="BB251" s="545">
        <f t="shared" si="748"/>
        <v>75436606.899999991</v>
      </c>
      <c r="BC251" s="545">
        <f t="shared" si="748"/>
        <v>98218462.200000018</v>
      </c>
      <c r="BD251" s="558">
        <v>7405242</v>
      </c>
      <c r="BE251" s="564">
        <f>BD251+BC251</f>
        <v>105623704.20000002</v>
      </c>
      <c r="BF251" s="562">
        <v>101902049.04000001</v>
      </c>
      <c r="BG251" s="848">
        <f>BE251-BF251</f>
        <v>3721655.1600000113</v>
      </c>
      <c r="BH251" s="876">
        <f>AG251+AH251</f>
        <v>102597691.45</v>
      </c>
      <c r="BI251" s="876">
        <f>BH251-AI251</f>
        <v>695642.40999999642</v>
      </c>
    </row>
    <row r="252" spans="1:61">
      <c r="A252" s="11">
        <v>1</v>
      </c>
      <c r="B252" s="13" t="s">
        <v>71</v>
      </c>
      <c r="C252" s="17">
        <v>5</v>
      </c>
      <c r="D252" s="17"/>
      <c r="E252" s="11">
        <v>1932.8</v>
      </c>
      <c r="F252" s="11"/>
      <c r="G252" s="555">
        <v>32213.33</v>
      </c>
      <c r="H252" s="545" t="e">
        <f>I252+J252+K252</f>
        <v>#REF!</v>
      </c>
      <c r="I252" s="11" t="e">
        <f t="shared" ref="I252:I258" si="749">E252-K252-J252</f>
        <v>#REF!</v>
      </c>
      <c r="J252" s="11"/>
      <c r="K252" s="11" t="e">
        <f>'[10]Смарт 2015'!G242</f>
        <v>#REF!</v>
      </c>
      <c r="L252" s="684">
        <f>M252+O252</f>
        <v>0</v>
      </c>
      <c r="M252" s="11">
        <f>F252-O252</f>
        <v>0</v>
      </c>
      <c r="N252" s="862">
        <f>P252-C252</f>
        <v>0</v>
      </c>
      <c r="O252" s="439"/>
      <c r="P252" s="444">
        <v>5</v>
      </c>
      <c r="Q252" s="17"/>
      <c r="R252" s="555">
        <v>32211.67</v>
      </c>
      <c r="S252" s="555"/>
      <c r="T252" s="554">
        <f>U252+Y252</f>
        <v>1932700</v>
      </c>
      <c r="U252" s="556">
        <v>1932700</v>
      </c>
      <c r="V252" s="433">
        <v>1932700</v>
      </c>
      <c r="W252" s="11"/>
      <c r="X252" s="11"/>
      <c r="Y252" s="556">
        <f t="shared" ref="Y252:Y257" si="750">ROUND(S252*Q252*12,2)</f>
        <v>0</v>
      </c>
      <c r="Z252" s="11">
        <f t="shared" ref="Z252:Z257" si="751">Y252-AA252-AB252</f>
        <v>0</v>
      </c>
      <c r="AA252" s="11"/>
      <c r="AB252" s="11"/>
      <c r="AC252" s="554">
        <f t="shared" ref="AC252:AC258" si="752">AD252+AE252+AF252</f>
        <v>1932700</v>
      </c>
      <c r="AD252" s="433">
        <f t="shared" ref="AD252:AD258" si="753">ROUND((Z252+V252),2)</f>
        <v>1932700</v>
      </c>
      <c r="AE252" s="11">
        <f t="shared" ref="AE252:AF258" si="754">AA252+W252</f>
        <v>0</v>
      </c>
      <c r="AF252" s="11">
        <f t="shared" si="754"/>
        <v>0</v>
      </c>
      <c r="AG252" s="544">
        <f t="shared" ref="AG252:AG258" si="755">ROUND(AD252*1.302,2)</f>
        <v>2516375.4</v>
      </c>
      <c r="AH252" s="11"/>
      <c r="AI252" s="1084"/>
      <c r="AJ252" s="850"/>
      <c r="AK252" s="850"/>
      <c r="AL252" s="557">
        <v>32211.67</v>
      </c>
      <c r="AM252" s="557">
        <f t="shared" si="643"/>
        <v>0</v>
      </c>
      <c r="AN252" s="1233"/>
      <c r="AO252" s="17">
        <v>5</v>
      </c>
      <c r="AP252" s="17"/>
      <c r="AQ252" s="554">
        <f>AR252+AV252</f>
        <v>1932700.2</v>
      </c>
      <c r="AR252" s="545">
        <f t="shared" si="694"/>
        <v>1932700.2</v>
      </c>
      <c r="AS252" s="11">
        <f t="shared" ref="AS252:AS257" si="756">AR252-AT252-AU252</f>
        <v>1932700.2</v>
      </c>
      <c r="AT252" s="11">
        <f>W252</f>
        <v>0</v>
      </c>
      <c r="AU252" s="11">
        <f t="shared" ref="AU252:AU258" si="757">X252</f>
        <v>0</v>
      </c>
      <c r="AV252" s="545">
        <f t="shared" ref="AV252:AV267" si="758">ROUND(AM252*AP252*12,2)</f>
        <v>0</v>
      </c>
      <c r="AW252" s="11">
        <f>AV252-AX252-AY252</f>
        <v>0</v>
      </c>
      <c r="AX252" s="11">
        <f t="shared" ref="AX252:AY258" si="759">AA252</f>
        <v>0</v>
      </c>
      <c r="AY252" s="11">
        <f t="shared" si="759"/>
        <v>0</v>
      </c>
      <c r="AZ252" s="18">
        <f>AX252+AT252</f>
        <v>0</v>
      </c>
      <c r="BA252" s="18">
        <f t="shared" ref="BA252:BA258" si="760">AY252+AU252</f>
        <v>0</v>
      </c>
      <c r="BB252" s="19">
        <f>AW252+AS252</f>
        <v>1932700.2</v>
      </c>
      <c r="BC252" s="544">
        <f>ROUND(BB252*1.302,1)</f>
        <v>2516375.7000000002</v>
      </c>
      <c r="BD252" s="544"/>
      <c r="BE252" s="11"/>
      <c r="BF252" s="445"/>
      <c r="BG252" s="11"/>
      <c r="BH252" s="872"/>
    </row>
    <row r="253" spans="1:61">
      <c r="A253" s="11">
        <v>2</v>
      </c>
      <c r="B253" s="13" t="s">
        <v>72</v>
      </c>
      <c r="C253" s="17">
        <v>22</v>
      </c>
      <c r="D253" s="17"/>
      <c r="E253" s="11">
        <v>6314.5</v>
      </c>
      <c r="F253" s="11"/>
      <c r="G253" s="555">
        <v>23918.560000000001</v>
      </c>
      <c r="H253" s="545" t="e">
        <f t="shared" ref="H253:H258" si="761">I253+J253+K253</f>
        <v>#REF!</v>
      </c>
      <c r="I253" s="11" t="e">
        <f t="shared" si="749"/>
        <v>#REF!</v>
      </c>
      <c r="J253" s="11"/>
      <c r="K253" s="11" t="e">
        <f>'[10]Смарт 2015'!G236</f>
        <v>#REF!</v>
      </c>
      <c r="L253" s="684" t="e">
        <f t="shared" ref="L253:L258" si="762">M253+O253</f>
        <v>#REF!</v>
      </c>
      <c r="M253" s="11" t="e">
        <f t="shared" ref="M253:M258" si="763">F253-O253</f>
        <v>#REF!</v>
      </c>
      <c r="N253" s="862">
        <f t="shared" ref="N253:N258" si="764">P253-C253</f>
        <v>0</v>
      </c>
      <c r="O253" s="439" t="e">
        <f>'[10]Смарт 2015'!L246</f>
        <v>#REF!</v>
      </c>
      <c r="P253" s="444">
        <v>22</v>
      </c>
      <c r="Q253" s="17"/>
      <c r="R253" s="555">
        <v>23910.98</v>
      </c>
      <c r="S253" s="555"/>
      <c r="T253" s="554">
        <f t="shared" ref="T253:T258" si="765">U253+Y253</f>
        <v>6312500</v>
      </c>
      <c r="U253" s="556">
        <v>6312500</v>
      </c>
      <c r="V253" s="433">
        <v>6312500</v>
      </c>
      <c r="W253" s="11"/>
      <c r="X253" s="11"/>
      <c r="Y253" s="556">
        <f t="shared" si="750"/>
        <v>0</v>
      </c>
      <c r="Z253" s="11">
        <f t="shared" si="751"/>
        <v>0</v>
      </c>
      <c r="AA253" s="11"/>
      <c r="AB253" s="11"/>
      <c r="AC253" s="554">
        <f t="shared" si="752"/>
        <v>6312500</v>
      </c>
      <c r="AD253" s="433">
        <f t="shared" si="753"/>
        <v>6312500</v>
      </c>
      <c r="AE253" s="11">
        <f t="shared" si="754"/>
        <v>0</v>
      </c>
      <c r="AF253" s="11">
        <f t="shared" si="754"/>
        <v>0</v>
      </c>
      <c r="AG253" s="544">
        <f t="shared" si="755"/>
        <v>8218875</v>
      </c>
      <c r="AH253" s="11"/>
      <c r="AI253" s="1084"/>
      <c r="AJ253" s="850"/>
      <c r="AK253" s="850"/>
      <c r="AL253" s="557">
        <v>23910.98</v>
      </c>
      <c r="AM253" s="557">
        <f t="shared" si="643"/>
        <v>0</v>
      </c>
      <c r="AN253" s="1233"/>
      <c r="AO253" s="17">
        <v>22</v>
      </c>
      <c r="AP253" s="17"/>
      <c r="AQ253" s="554">
        <f t="shared" ref="AQ253:AQ258" si="766">AR253+AV253</f>
        <v>6312498.7000000002</v>
      </c>
      <c r="AR253" s="545">
        <f t="shared" si="694"/>
        <v>6312498.7000000002</v>
      </c>
      <c r="AS253" s="11">
        <f t="shared" si="756"/>
        <v>6312498.7000000002</v>
      </c>
      <c r="AT253" s="11">
        <f t="shared" ref="AT253:AT258" si="767">W253</f>
        <v>0</v>
      </c>
      <c r="AU253" s="11">
        <f t="shared" si="757"/>
        <v>0</v>
      </c>
      <c r="AV253" s="545">
        <f t="shared" si="758"/>
        <v>0</v>
      </c>
      <c r="AW253" s="11">
        <f t="shared" ref="AW253:AW258" si="768">AV253-AX253-AY253</f>
        <v>0</v>
      </c>
      <c r="AX253" s="11">
        <f t="shared" si="759"/>
        <v>0</v>
      </c>
      <c r="AY253" s="11">
        <f t="shared" si="759"/>
        <v>0</v>
      </c>
      <c r="AZ253" s="18">
        <f t="shared" ref="AZ253:AZ258" si="769">AX253+AT253</f>
        <v>0</v>
      </c>
      <c r="BA253" s="18">
        <f t="shared" si="760"/>
        <v>0</v>
      </c>
      <c r="BB253" s="19">
        <f t="shared" ref="BB253:BB258" si="770">AW253+AS253</f>
        <v>6312498.7000000002</v>
      </c>
      <c r="BC253" s="544">
        <f t="shared" ref="BC253:BC258" si="771">ROUND(BB253*1.302,1)</f>
        <v>8218873.2999999998</v>
      </c>
      <c r="BD253" s="544"/>
      <c r="BE253" s="11"/>
      <c r="BF253" s="445"/>
      <c r="BG253" s="11"/>
      <c r="BH253" s="872"/>
    </row>
    <row r="254" spans="1:61">
      <c r="A254" s="11">
        <v>3</v>
      </c>
      <c r="B254" s="14" t="s">
        <v>76</v>
      </c>
      <c r="C254" s="17">
        <v>190</v>
      </c>
      <c r="D254" s="17">
        <v>9.1</v>
      </c>
      <c r="E254" s="11">
        <v>50913</v>
      </c>
      <c r="F254" s="11">
        <v>1153.4000000000001</v>
      </c>
      <c r="G254" s="555">
        <v>22330.26</v>
      </c>
      <c r="H254" s="545" t="e">
        <f t="shared" si="761"/>
        <v>#REF!</v>
      </c>
      <c r="I254" s="11" t="e">
        <f t="shared" si="749"/>
        <v>#REF!</v>
      </c>
      <c r="J254" s="11"/>
      <c r="K254" s="11" t="e">
        <f>'[10]Смарт 2015'!G239</f>
        <v>#REF!</v>
      </c>
      <c r="L254" s="684" t="e">
        <f t="shared" si="762"/>
        <v>#REF!</v>
      </c>
      <c r="M254" s="11" t="e">
        <f t="shared" si="763"/>
        <v>#REF!</v>
      </c>
      <c r="N254" s="862">
        <f t="shared" si="764"/>
        <v>-1</v>
      </c>
      <c r="O254" s="439" t="e">
        <f>'[10]Смарт 2015'!L239</f>
        <v>#REF!</v>
      </c>
      <c r="P254" s="444">
        <v>189</v>
      </c>
      <c r="Q254" s="17">
        <v>8</v>
      </c>
      <c r="R254" s="29">
        <v>22262.43</v>
      </c>
      <c r="S254" s="555">
        <v>8559.3799999999992</v>
      </c>
      <c r="T254" s="599">
        <f t="shared" si="765"/>
        <v>51312891.240000002</v>
      </c>
      <c r="U254" s="600">
        <f>ROUND(R254*P254*12,2)</f>
        <v>50491191.240000002</v>
      </c>
      <c r="V254" s="601">
        <f>U254-W254-X254</f>
        <v>50491191.240000002</v>
      </c>
      <c r="W254" s="11"/>
      <c r="X254" s="11"/>
      <c r="Y254" s="556">
        <v>821700</v>
      </c>
      <c r="Z254" s="11">
        <v>821700</v>
      </c>
      <c r="AA254" s="11"/>
      <c r="AB254" s="11"/>
      <c r="AC254" s="554">
        <f t="shared" si="752"/>
        <v>51312891.240000002</v>
      </c>
      <c r="AD254" s="433">
        <f t="shared" si="753"/>
        <v>51312891.240000002</v>
      </c>
      <c r="AE254" s="11">
        <f t="shared" si="754"/>
        <v>0</v>
      </c>
      <c r="AF254" s="11">
        <f t="shared" si="754"/>
        <v>0</v>
      </c>
      <c r="AG254" s="544">
        <f t="shared" si="755"/>
        <v>66809384.390000001</v>
      </c>
      <c r="AH254" s="11"/>
      <c r="AI254" s="1084"/>
      <c r="AJ254" s="850"/>
      <c r="AK254" s="850"/>
      <c r="AL254" s="557">
        <v>22268.23</v>
      </c>
      <c r="AM254" s="557">
        <f t="shared" si="643"/>
        <v>8559.3799999999992</v>
      </c>
      <c r="AN254" s="1233">
        <f>AO254-P254</f>
        <v>1</v>
      </c>
      <c r="AO254" s="17">
        <v>190</v>
      </c>
      <c r="AP254" s="17">
        <v>8</v>
      </c>
      <c r="AQ254" s="554">
        <f t="shared" si="766"/>
        <v>51593264.879999995</v>
      </c>
      <c r="AR254" s="545">
        <f t="shared" si="694"/>
        <v>50771564.399999999</v>
      </c>
      <c r="AS254" s="11">
        <f t="shared" si="756"/>
        <v>50771564.399999999</v>
      </c>
      <c r="AT254" s="11">
        <f t="shared" si="767"/>
        <v>0</v>
      </c>
      <c r="AU254" s="11">
        <f t="shared" si="757"/>
        <v>0</v>
      </c>
      <c r="AV254" s="545">
        <f t="shared" si="758"/>
        <v>821700.48</v>
      </c>
      <c r="AW254" s="11">
        <f t="shared" si="768"/>
        <v>821700.48</v>
      </c>
      <c r="AX254" s="11">
        <f t="shared" si="759"/>
        <v>0</v>
      </c>
      <c r="AY254" s="11">
        <f t="shared" si="759"/>
        <v>0</v>
      </c>
      <c r="AZ254" s="18">
        <f t="shared" si="769"/>
        <v>0</v>
      </c>
      <c r="BA254" s="18">
        <f t="shared" si="760"/>
        <v>0</v>
      </c>
      <c r="BB254" s="19">
        <f t="shared" si="770"/>
        <v>51593264.879999995</v>
      </c>
      <c r="BC254" s="544">
        <f t="shared" si="771"/>
        <v>67174430.900000006</v>
      </c>
      <c r="BD254" s="544"/>
      <c r="BE254" s="11"/>
      <c r="BF254" s="445"/>
      <c r="BG254" s="11"/>
      <c r="BH254" s="872"/>
    </row>
    <row r="255" spans="1:61">
      <c r="A255" s="11">
        <v>4</v>
      </c>
      <c r="B255" s="14" t="s">
        <v>77</v>
      </c>
      <c r="C255" s="17"/>
      <c r="D255" s="17"/>
      <c r="E255" s="11"/>
      <c r="F255" s="11"/>
      <c r="G255" s="555"/>
      <c r="H255" s="545" t="e">
        <f t="shared" si="761"/>
        <v>#REF!</v>
      </c>
      <c r="I255" s="11" t="e">
        <f t="shared" si="749"/>
        <v>#REF!</v>
      </c>
      <c r="J255" s="11"/>
      <c r="K255" s="11" t="e">
        <f>'[10]Смарт 2015'!G238</f>
        <v>#REF!</v>
      </c>
      <c r="L255" s="684" t="e">
        <f t="shared" si="762"/>
        <v>#REF!</v>
      </c>
      <c r="M255" s="11" t="e">
        <f t="shared" si="763"/>
        <v>#REF!</v>
      </c>
      <c r="N255" s="862">
        <f t="shared" si="764"/>
        <v>0</v>
      </c>
      <c r="O255" s="439" t="e">
        <f>'[10]Смарт 2015'!L248</f>
        <v>#REF!</v>
      </c>
      <c r="P255" s="444"/>
      <c r="Q255" s="17"/>
      <c r="R255" s="555"/>
      <c r="S255" s="555"/>
      <c r="T255" s="554">
        <f t="shared" si="765"/>
        <v>0</v>
      </c>
      <c r="U255" s="556">
        <f>ROUND(R255*P255*12,2)</f>
        <v>0</v>
      </c>
      <c r="V255" s="433">
        <f>U255-W255-X255</f>
        <v>0</v>
      </c>
      <c r="W255" s="11"/>
      <c r="X255" s="11"/>
      <c r="Y255" s="556">
        <f t="shared" si="750"/>
        <v>0</v>
      </c>
      <c r="Z255" s="11">
        <f t="shared" si="751"/>
        <v>0</v>
      </c>
      <c r="AA255" s="11"/>
      <c r="AB255" s="11"/>
      <c r="AC255" s="554">
        <f t="shared" si="752"/>
        <v>0</v>
      </c>
      <c r="AD255" s="433">
        <f t="shared" si="753"/>
        <v>0</v>
      </c>
      <c r="AE255" s="11">
        <f t="shared" si="754"/>
        <v>0</v>
      </c>
      <c r="AF255" s="11">
        <f t="shared" si="754"/>
        <v>0</v>
      </c>
      <c r="AG255" s="544">
        <f t="shared" si="755"/>
        <v>0</v>
      </c>
      <c r="AH255" s="11"/>
      <c r="AI255" s="1084"/>
      <c r="AJ255" s="850"/>
      <c r="AK255" s="850"/>
      <c r="AL255" s="557"/>
      <c r="AM255" s="557">
        <f t="shared" si="643"/>
        <v>0</v>
      </c>
      <c r="AN255" s="1233"/>
      <c r="AO255" s="17"/>
      <c r="AP255" s="17"/>
      <c r="AQ255" s="554">
        <f t="shared" si="766"/>
        <v>0</v>
      </c>
      <c r="AR255" s="545">
        <f t="shared" si="694"/>
        <v>0</v>
      </c>
      <c r="AS255" s="11">
        <f t="shared" si="756"/>
        <v>0</v>
      </c>
      <c r="AT255" s="11">
        <f t="shared" si="767"/>
        <v>0</v>
      </c>
      <c r="AU255" s="11">
        <f t="shared" si="757"/>
        <v>0</v>
      </c>
      <c r="AV255" s="545">
        <f t="shared" si="758"/>
        <v>0</v>
      </c>
      <c r="AW255" s="11">
        <f t="shared" si="768"/>
        <v>0</v>
      </c>
      <c r="AX255" s="11">
        <f t="shared" si="759"/>
        <v>0</v>
      </c>
      <c r="AY255" s="11">
        <f t="shared" si="759"/>
        <v>0</v>
      </c>
      <c r="AZ255" s="18">
        <f t="shared" si="769"/>
        <v>0</v>
      </c>
      <c r="BA255" s="18">
        <f t="shared" si="760"/>
        <v>0</v>
      </c>
      <c r="BB255" s="19">
        <f t="shared" si="770"/>
        <v>0</v>
      </c>
      <c r="BC255" s="544">
        <f t="shared" si="771"/>
        <v>0</v>
      </c>
      <c r="BD255" s="544"/>
      <c r="BE255" s="11"/>
      <c r="BF255" s="445"/>
      <c r="BG255" s="11"/>
      <c r="BH255" s="872"/>
    </row>
    <row r="256" spans="1:61">
      <c r="A256" s="11">
        <v>5</v>
      </c>
      <c r="B256" s="13" t="s">
        <v>73</v>
      </c>
      <c r="C256" s="17"/>
      <c r="D256" s="17"/>
      <c r="E256" s="11"/>
      <c r="F256" s="11"/>
      <c r="G256" s="555"/>
      <c r="H256" s="545">
        <f t="shared" si="761"/>
        <v>0</v>
      </c>
      <c r="I256" s="11">
        <f t="shared" si="749"/>
        <v>0</v>
      </c>
      <c r="J256" s="11"/>
      <c r="K256" s="11"/>
      <c r="L256" s="684">
        <f t="shared" si="762"/>
        <v>0</v>
      </c>
      <c r="M256" s="11">
        <f t="shared" si="763"/>
        <v>0</v>
      </c>
      <c r="N256" s="862">
        <f t="shared" si="764"/>
        <v>0</v>
      </c>
      <c r="O256" s="439"/>
      <c r="P256" s="444"/>
      <c r="Q256" s="17"/>
      <c r="R256" s="555"/>
      <c r="S256" s="555"/>
      <c r="T256" s="554">
        <f t="shared" si="765"/>
        <v>0</v>
      </c>
      <c r="U256" s="556">
        <f>ROUND(R256*P256*12,2)</f>
        <v>0</v>
      </c>
      <c r="V256" s="433">
        <f>U256-W256-X256</f>
        <v>0</v>
      </c>
      <c r="W256" s="11"/>
      <c r="X256" s="11"/>
      <c r="Y256" s="556">
        <f t="shared" si="750"/>
        <v>0</v>
      </c>
      <c r="Z256" s="11">
        <f t="shared" si="751"/>
        <v>0</v>
      </c>
      <c r="AA256" s="11"/>
      <c r="AB256" s="11"/>
      <c r="AC256" s="554">
        <f t="shared" si="752"/>
        <v>0</v>
      </c>
      <c r="AD256" s="433">
        <f t="shared" si="753"/>
        <v>0</v>
      </c>
      <c r="AE256" s="11">
        <f t="shared" si="754"/>
        <v>0</v>
      </c>
      <c r="AF256" s="11">
        <f t="shared" si="754"/>
        <v>0</v>
      </c>
      <c r="AG256" s="544">
        <f t="shared" si="755"/>
        <v>0</v>
      </c>
      <c r="AH256" s="11"/>
      <c r="AI256" s="1084"/>
      <c r="AJ256" s="850"/>
      <c r="AK256" s="850"/>
      <c r="AL256" s="557"/>
      <c r="AM256" s="557">
        <f t="shared" si="643"/>
        <v>0</v>
      </c>
      <c r="AN256" s="1233"/>
      <c r="AO256" s="17"/>
      <c r="AP256" s="17"/>
      <c r="AQ256" s="554">
        <f t="shared" si="766"/>
        <v>0</v>
      </c>
      <c r="AR256" s="545">
        <f t="shared" si="694"/>
        <v>0</v>
      </c>
      <c r="AS256" s="11">
        <f t="shared" si="756"/>
        <v>0</v>
      </c>
      <c r="AT256" s="11">
        <f t="shared" si="767"/>
        <v>0</v>
      </c>
      <c r="AU256" s="11">
        <f t="shared" si="757"/>
        <v>0</v>
      </c>
      <c r="AV256" s="545">
        <f t="shared" si="758"/>
        <v>0</v>
      </c>
      <c r="AW256" s="11">
        <f t="shared" si="768"/>
        <v>0</v>
      </c>
      <c r="AX256" s="11">
        <f t="shared" si="759"/>
        <v>0</v>
      </c>
      <c r="AY256" s="11">
        <f t="shared" si="759"/>
        <v>0</v>
      </c>
      <c r="AZ256" s="18">
        <f t="shared" si="769"/>
        <v>0</v>
      </c>
      <c r="BA256" s="18">
        <f t="shared" si="760"/>
        <v>0</v>
      </c>
      <c r="BB256" s="19">
        <f t="shared" si="770"/>
        <v>0</v>
      </c>
      <c r="BC256" s="544">
        <f t="shared" si="771"/>
        <v>0</v>
      </c>
      <c r="BD256" s="544"/>
      <c r="BE256" s="11"/>
      <c r="BF256" s="445"/>
      <c r="BG256" s="11"/>
      <c r="BH256" s="872"/>
    </row>
    <row r="257" spans="1:61">
      <c r="A257" s="11">
        <v>6</v>
      </c>
      <c r="B257" s="13" t="s">
        <v>74</v>
      </c>
      <c r="C257" s="17">
        <v>0</v>
      </c>
      <c r="D257" s="17">
        <v>0.5</v>
      </c>
      <c r="E257" s="11"/>
      <c r="F257" s="11">
        <v>65.099999999999994</v>
      </c>
      <c r="G257" s="555"/>
      <c r="H257" s="545">
        <f t="shared" si="761"/>
        <v>0</v>
      </c>
      <c r="I257" s="11">
        <f t="shared" si="749"/>
        <v>0</v>
      </c>
      <c r="J257" s="11"/>
      <c r="K257" s="11"/>
      <c r="L257" s="684" t="e">
        <f t="shared" si="762"/>
        <v>#REF!</v>
      </c>
      <c r="M257" s="11" t="e">
        <f t="shared" si="763"/>
        <v>#REF!</v>
      </c>
      <c r="N257" s="862">
        <f t="shared" si="764"/>
        <v>0</v>
      </c>
      <c r="O257" s="439" t="e">
        <f>'[10]Смарт 2015'!L252</f>
        <v>#REF!</v>
      </c>
      <c r="P257" s="444"/>
      <c r="Q257" s="17">
        <v>0.5</v>
      </c>
      <c r="R257" s="555"/>
      <c r="S257" s="555">
        <f>ROUND(F257/D257/12*1000,2)</f>
        <v>10850</v>
      </c>
      <c r="T257" s="554">
        <f t="shared" si="765"/>
        <v>65100</v>
      </c>
      <c r="U257" s="556">
        <f>ROUND(R257*P257*12,2)</f>
        <v>0</v>
      </c>
      <c r="V257" s="433">
        <f>U257-W257-X257</f>
        <v>0</v>
      </c>
      <c r="W257" s="11"/>
      <c r="X257" s="11"/>
      <c r="Y257" s="556">
        <f t="shared" si="750"/>
        <v>65100</v>
      </c>
      <c r="Z257" s="11">
        <f t="shared" si="751"/>
        <v>65100</v>
      </c>
      <c r="AA257" s="11"/>
      <c r="AB257" s="11"/>
      <c r="AC257" s="554">
        <f t="shared" si="752"/>
        <v>65100</v>
      </c>
      <c r="AD257" s="433">
        <f t="shared" si="753"/>
        <v>65100</v>
      </c>
      <c r="AE257" s="11">
        <f t="shared" si="754"/>
        <v>0</v>
      </c>
      <c r="AF257" s="11">
        <f t="shared" si="754"/>
        <v>0</v>
      </c>
      <c r="AG257" s="544">
        <f t="shared" si="755"/>
        <v>84760.2</v>
      </c>
      <c r="AH257" s="11"/>
      <c r="AI257" s="1084"/>
      <c r="AJ257" s="850"/>
      <c r="AK257" s="850"/>
      <c r="AL257" s="557"/>
      <c r="AM257" s="557">
        <f t="shared" si="643"/>
        <v>10850</v>
      </c>
      <c r="AN257" s="1233"/>
      <c r="AO257" s="17"/>
      <c r="AP257" s="17">
        <v>0.5</v>
      </c>
      <c r="AQ257" s="554">
        <f t="shared" si="766"/>
        <v>65100</v>
      </c>
      <c r="AR257" s="545">
        <f t="shared" si="694"/>
        <v>0</v>
      </c>
      <c r="AS257" s="11">
        <f t="shared" si="756"/>
        <v>0</v>
      </c>
      <c r="AT257" s="11">
        <f t="shared" si="767"/>
        <v>0</v>
      </c>
      <c r="AU257" s="11">
        <f t="shared" si="757"/>
        <v>0</v>
      </c>
      <c r="AV257" s="545">
        <f t="shared" si="758"/>
        <v>65100</v>
      </c>
      <c r="AW257" s="11">
        <f t="shared" si="768"/>
        <v>65100</v>
      </c>
      <c r="AX257" s="11">
        <f t="shared" si="759"/>
        <v>0</v>
      </c>
      <c r="AY257" s="11">
        <f t="shared" si="759"/>
        <v>0</v>
      </c>
      <c r="AZ257" s="18">
        <f t="shared" si="769"/>
        <v>0</v>
      </c>
      <c r="BA257" s="18">
        <f t="shared" si="760"/>
        <v>0</v>
      </c>
      <c r="BB257" s="19">
        <f t="shared" si="770"/>
        <v>65100</v>
      </c>
      <c r="BC257" s="544">
        <f t="shared" si="771"/>
        <v>84760.2</v>
      </c>
      <c r="BD257" s="544"/>
      <c r="BE257" s="11"/>
      <c r="BF257" s="445"/>
      <c r="BG257" s="11"/>
      <c r="BH257" s="872"/>
    </row>
    <row r="258" spans="1:61">
      <c r="A258" s="11">
        <v>7</v>
      </c>
      <c r="B258" s="1131" t="s">
        <v>814</v>
      </c>
      <c r="C258" s="17">
        <v>137.19999999999999</v>
      </c>
      <c r="D258" s="17">
        <v>5.8</v>
      </c>
      <c r="E258" s="11">
        <v>13218</v>
      </c>
      <c r="F258" s="11">
        <v>561</v>
      </c>
      <c r="G258" s="555">
        <v>8028.43</v>
      </c>
      <c r="H258" s="545" t="e">
        <f t="shared" si="761"/>
        <v>#REF!</v>
      </c>
      <c r="I258" s="11" t="e">
        <f t="shared" si="749"/>
        <v>#REF!</v>
      </c>
      <c r="J258" s="11"/>
      <c r="K258" s="11" t="e">
        <f>'[10]Смарт 2015'!G240+'[10]Смарт 2015'!G241</f>
        <v>#REF!</v>
      </c>
      <c r="L258" s="684" t="e">
        <f t="shared" si="762"/>
        <v>#REF!</v>
      </c>
      <c r="M258" s="11" t="e">
        <f t="shared" si="763"/>
        <v>#REF!</v>
      </c>
      <c r="N258" s="862">
        <f t="shared" si="764"/>
        <v>-1.1999999999999886</v>
      </c>
      <c r="O258" s="439" t="e">
        <f>'[10]Смарт 2015'!L250</f>
        <v>#REF!</v>
      </c>
      <c r="P258" s="444">
        <v>136</v>
      </c>
      <c r="Q258" s="17">
        <v>5.8</v>
      </c>
      <c r="R258" s="555">
        <v>8028.8</v>
      </c>
      <c r="S258" s="555">
        <v>7683.91</v>
      </c>
      <c r="T258" s="554">
        <f t="shared" si="765"/>
        <v>13637800</v>
      </c>
      <c r="U258" s="556">
        <v>13103000</v>
      </c>
      <c r="V258" s="433">
        <v>13103000</v>
      </c>
      <c r="W258" s="11"/>
      <c r="X258" s="11"/>
      <c r="Y258" s="556">
        <v>534800</v>
      </c>
      <c r="Z258" s="11">
        <v>534800</v>
      </c>
      <c r="AA258" s="11"/>
      <c r="AB258" s="11"/>
      <c r="AC258" s="554">
        <f t="shared" si="752"/>
        <v>13637800</v>
      </c>
      <c r="AD258" s="433">
        <f t="shared" si="753"/>
        <v>13637800</v>
      </c>
      <c r="AE258" s="11">
        <f t="shared" si="754"/>
        <v>0</v>
      </c>
      <c r="AF258" s="11">
        <f t="shared" si="754"/>
        <v>0</v>
      </c>
      <c r="AG258" s="544">
        <f t="shared" si="755"/>
        <v>17756415.600000001</v>
      </c>
      <c r="AH258" s="11"/>
      <c r="AI258" s="1084"/>
      <c r="AJ258" s="850"/>
      <c r="AK258" s="850"/>
      <c r="AL258" s="557">
        <v>9178.7999999999993</v>
      </c>
      <c r="AM258" s="557">
        <f t="shared" si="643"/>
        <v>7683.91</v>
      </c>
      <c r="AN258" s="1233"/>
      <c r="AO258" s="17">
        <v>136</v>
      </c>
      <c r="AP258" s="17">
        <v>6</v>
      </c>
      <c r="AQ258" s="554">
        <f t="shared" si="766"/>
        <v>15533043.119999999</v>
      </c>
      <c r="AR258" s="545">
        <v>14979801.6</v>
      </c>
      <c r="AS258" s="11">
        <v>14979801.6</v>
      </c>
      <c r="AT258" s="11">
        <f t="shared" si="767"/>
        <v>0</v>
      </c>
      <c r="AU258" s="11">
        <f t="shared" si="757"/>
        <v>0</v>
      </c>
      <c r="AV258" s="545">
        <f t="shared" si="758"/>
        <v>553241.52</v>
      </c>
      <c r="AW258" s="11">
        <f t="shared" si="768"/>
        <v>553241.52</v>
      </c>
      <c r="AX258" s="11">
        <f t="shared" si="759"/>
        <v>0</v>
      </c>
      <c r="AY258" s="11">
        <f t="shared" si="759"/>
        <v>0</v>
      </c>
      <c r="AZ258" s="18">
        <f t="shared" si="769"/>
        <v>0</v>
      </c>
      <c r="BA258" s="18">
        <f t="shared" si="760"/>
        <v>0</v>
      </c>
      <c r="BB258" s="19">
        <f t="shared" si="770"/>
        <v>15533043.119999999</v>
      </c>
      <c r="BC258" s="544">
        <f t="shared" si="771"/>
        <v>20224022.100000001</v>
      </c>
      <c r="BD258" s="544"/>
      <c r="BE258" s="11"/>
      <c r="BF258" s="445"/>
      <c r="BG258" s="11"/>
      <c r="BH258" s="872"/>
    </row>
    <row r="259" spans="1:61">
      <c r="A259" s="11"/>
      <c r="B259" s="1132" t="s">
        <v>815</v>
      </c>
      <c r="C259" s="17"/>
      <c r="D259" s="17"/>
      <c r="E259" s="11"/>
      <c r="F259" s="11"/>
      <c r="G259" s="555"/>
      <c r="H259" s="545"/>
      <c r="I259" s="11"/>
      <c r="J259" s="11"/>
      <c r="K259" s="11"/>
      <c r="L259" s="684"/>
      <c r="M259" s="11"/>
      <c r="N259" s="862"/>
      <c r="O259" s="439"/>
      <c r="P259" s="444"/>
      <c r="Q259" s="17"/>
      <c r="R259" s="555"/>
      <c r="S259" s="555"/>
      <c r="T259" s="554"/>
      <c r="U259" s="556"/>
      <c r="V259" s="433"/>
      <c r="W259" s="11"/>
      <c r="X259" s="11"/>
      <c r="Y259" s="556"/>
      <c r="Z259" s="11"/>
      <c r="AA259" s="11"/>
      <c r="AB259" s="11"/>
      <c r="AC259" s="554"/>
      <c r="AD259" s="433"/>
      <c r="AE259" s="11"/>
      <c r="AF259" s="11"/>
      <c r="AG259" s="544"/>
      <c r="AH259" s="11"/>
      <c r="AI259" s="1084"/>
      <c r="AJ259" s="850"/>
      <c r="AK259" s="850"/>
      <c r="AL259" s="557"/>
      <c r="AM259" s="557"/>
      <c r="AN259" s="1233"/>
      <c r="AO259" s="17"/>
      <c r="AP259" s="17"/>
      <c r="AQ259" s="554"/>
      <c r="AR259" s="545"/>
      <c r="AS259" s="11"/>
      <c r="AT259" s="11"/>
      <c r="AU259" s="11"/>
      <c r="AV259" s="545"/>
      <c r="AW259" s="11"/>
      <c r="AX259" s="11"/>
      <c r="AY259" s="11"/>
      <c r="AZ259" s="18"/>
      <c r="BA259" s="18"/>
      <c r="BB259" s="19"/>
      <c r="BC259" s="544"/>
      <c r="BD259" s="544"/>
      <c r="BE259" s="1045"/>
      <c r="BF259" s="445"/>
      <c r="BG259" s="1045"/>
      <c r="BH259" s="872"/>
    </row>
    <row r="260" spans="1:61" ht="19.149999999999999" customHeight="1">
      <c r="A260" s="545">
        <v>27</v>
      </c>
      <c r="B260" s="426" t="s">
        <v>633</v>
      </c>
      <c r="C260" s="545">
        <f>C261+C262+C263+C264+C265+C266+C267</f>
        <v>370.9</v>
      </c>
      <c r="D260" s="545">
        <f>D261+D262+D263+D264+D265+D266+D267</f>
        <v>26.1</v>
      </c>
      <c r="E260" s="545">
        <f>SUM(E261:E267)</f>
        <v>86823.900000000009</v>
      </c>
      <c r="F260" s="545">
        <f t="shared" ref="F260:AF260" si="772">F261+F262+F263+F264+F265+F266+F267</f>
        <v>3109.5</v>
      </c>
      <c r="G260" s="558">
        <v>19507.48</v>
      </c>
      <c r="H260" s="545" t="e">
        <f t="shared" si="772"/>
        <v>#REF!</v>
      </c>
      <c r="I260" s="545" t="e">
        <f t="shared" si="772"/>
        <v>#REF!</v>
      </c>
      <c r="J260" s="545">
        <f t="shared" si="772"/>
        <v>0</v>
      </c>
      <c r="K260" s="545" t="e">
        <f t="shared" si="772"/>
        <v>#REF!</v>
      </c>
      <c r="L260" s="545" t="e">
        <f t="shared" si="772"/>
        <v>#REF!</v>
      </c>
      <c r="M260" s="545" t="e">
        <f t="shared" si="772"/>
        <v>#REF!</v>
      </c>
      <c r="N260" s="545">
        <f t="shared" si="772"/>
        <v>3.1000000000000103</v>
      </c>
      <c r="O260" s="559" t="e">
        <f t="shared" si="772"/>
        <v>#REF!</v>
      </c>
      <c r="P260" s="560">
        <f t="shared" si="772"/>
        <v>374</v>
      </c>
      <c r="Q260" s="545">
        <f t="shared" si="772"/>
        <v>27.8</v>
      </c>
      <c r="R260" s="558">
        <v>19507.48</v>
      </c>
      <c r="S260" s="558"/>
      <c r="T260" s="561">
        <f>SUM(T261:T267)</f>
        <v>91283864.019999996</v>
      </c>
      <c r="U260" s="545">
        <f t="shared" ref="U260:AB260" si="773">U261+U262+U263+U264+U265+U266+U267</f>
        <v>87928747.439999998</v>
      </c>
      <c r="V260" s="545">
        <f t="shared" si="773"/>
        <v>87928747.439999998</v>
      </c>
      <c r="W260" s="545">
        <f t="shared" si="773"/>
        <v>0</v>
      </c>
      <c r="X260" s="545">
        <f t="shared" si="773"/>
        <v>0</v>
      </c>
      <c r="Y260" s="545">
        <f t="shared" si="773"/>
        <v>3355116.58</v>
      </c>
      <c r="Z260" s="545">
        <f t="shared" si="773"/>
        <v>3355116.58</v>
      </c>
      <c r="AA260" s="545">
        <f t="shared" si="773"/>
        <v>0</v>
      </c>
      <c r="AB260" s="545">
        <f t="shared" si="773"/>
        <v>0</v>
      </c>
      <c r="AC260" s="545">
        <f t="shared" si="772"/>
        <v>91283864.019999996</v>
      </c>
      <c r="AD260" s="545">
        <f t="shared" si="772"/>
        <v>91283864.019999996</v>
      </c>
      <c r="AE260" s="545">
        <f t="shared" si="772"/>
        <v>0</v>
      </c>
      <c r="AF260" s="545">
        <f t="shared" si="772"/>
        <v>0</v>
      </c>
      <c r="AG260" s="545">
        <f>AG261+AG262+AG263+AG264+AG265+AG266+AG267</f>
        <v>118851590.96000001</v>
      </c>
      <c r="AH260" s="558">
        <f>9146714.56999999-800000</f>
        <v>8346714.5699999891</v>
      </c>
      <c r="AI260" s="1086">
        <v>127998305.53</v>
      </c>
      <c r="AJ260" s="765">
        <f>AH260+AG260</f>
        <v>127198305.53</v>
      </c>
      <c r="AK260" s="876">
        <f>AJ260-AI260</f>
        <v>-800000</v>
      </c>
      <c r="AL260" s="563">
        <v>19507.48</v>
      </c>
      <c r="AM260" s="563">
        <f t="shared" si="643"/>
        <v>0</v>
      </c>
      <c r="AN260" s="545">
        <f>AN261+AN262+AN263+AN264+AN265+AN266+AN267</f>
        <v>0</v>
      </c>
      <c r="AO260" s="545">
        <f>AO261+AO262+AO263+AO264+AO265+AO266+AO267</f>
        <v>374</v>
      </c>
      <c r="AP260" s="545">
        <f t="shared" ref="AP260:BC260" si="774">AP261+AP262+AP263+AP264+AP265+AP266+AP267</f>
        <v>27.8</v>
      </c>
      <c r="AQ260" s="561">
        <f>SUM(AQ261:AQ267)</f>
        <v>91405579.979999989</v>
      </c>
      <c r="AR260" s="545">
        <f t="shared" ref="AR260:AR267" si="775">ROUND((AL260*AO260*12),1)</f>
        <v>87549570.200000003</v>
      </c>
      <c r="AS260" s="545">
        <f t="shared" si="774"/>
        <v>88031563.400000006</v>
      </c>
      <c r="AT260" s="545">
        <f t="shared" si="774"/>
        <v>0</v>
      </c>
      <c r="AU260" s="545">
        <f t="shared" si="774"/>
        <v>0</v>
      </c>
      <c r="AV260" s="545">
        <f t="shared" si="758"/>
        <v>0</v>
      </c>
      <c r="AW260" s="545">
        <f>AW261+AW262+AW263+AW264+AW265+AW266+AW267</f>
        <v>3374016.58</v>
      </c>
      <c r="AX260" s="545">
        <f t="shared" si="774"/>
        <v>0</v>
      </c>
      <c r="AY260" s="545">
        <f t="shared" si="774"/>
        <v>0</v>
      </c>
      <c r="AZ260" s="545">
        <f t="shared" si="774"/>
        <v>0</v>
      </c>
      <c r="BA260" s="545">
        <f t="shared" si="774"/>
        <v>0</v>
      </c>
      <c r="BB260" s="545">
        <f t="shared" si="774"/>
        <v>91405579.979999989</v>
      </c>
      <c r="BC260" s="545">
        <f t="shared" si="774"/>
        <v>119010065.2</v>
      </c>
      <c r="BD260" s="558">
        <v>8364999</v>
      </c>
      <c r="BE260" s="564">
        <f>BD260+BC260</f>
        <v>127375064.2</v>
      </c>
      <c r="BF260" s="562">
        <v>127998305.53</v>
      </c>
      <c r="BG260" s="848">
        <f>BE260-BF260</f>
        <v>-623241.32999999821</v>
      </c>
      <c r="BH260" s="876">
        <f>AG260+AH260</f>
        <v>127198305.53</v>
      </c>
      <c r="BI260" s="876">
        <f>BH260-AI260</f>
        <v>-800000</v>
      </c>
    </row>
    <row r="261" spans="1:61">
      <c r="A261" s="11">
        <v>1</v>
      </c>
      <c r="B261" s="13" t="s">
        <v>71</v>
      </c>
      <c r="C261" s="17">
        <v>5.9</v>
      </c>
      <c r="D261" s="17"/>
      <c r="E261" s="11">
        <v>3595.3</v>
      </c>
      <c r="F261" s="11"/>
      <c r="G261" s="555">
        <v>50781.07</v>
      </c>
      <c r="H261" s="545" t="e">
        <f>I261+J261+K261</f>
        <v>#REF!</v>
      </c>
      <c r="I261" s="11" t="e">
        <f t="shared" ref="I261:I267" si="776">E261-K261-J261</f>
        <v>#REF!</v>
      </c>
      <c r="J261" s="11"/>
      <c r="K261" s="11" t="e">
        <f>'[11]Смарт 2015'!G250</f>
        <v>#REF!</v>
      </c>
      <c r="L261" s="684">
        <f>M261+O261</f>
        <v>0</v>
      </c>
      <c r="M261" s="11">
        <f>F261-O261</f>
        <v>0</v>
      </c>
      <c r="N261" s="862">
        <f>P261-C261</f>
        <v>9.9999999999999645E-2</v>
      </c>
      <c r="O261" s="439"/>
      <c r="P261" s="444">
        <v>6</v>
      </c>
      <c r="Q261" s="17"/>
      <c r="R261" s="555">
        <v>50781.07</v>
      </c>
      <c r="S261" s="555"/>
      <c r="T261" s="554">
        <f>U261+Y261</f>
        <v>3656237.04</v>
      </c>
      <c r="U261" s="556">
        <f t="shared" ref="U261:U267" si="777">ROUND(R261*P261*12,2)</f>
        <v>3656237.04</v>
      </c>
      <c r="V261" s="433">
        <f t="shared" ref="V261:V267" si="778">U261-W261-X261</f>
        <v>3656237.04</v>
      </c>
      <c r="W261" s="11"/>
      <c r="X261" s="11"/>
      <c r="Y261" s="556">
        <f t="shared" ref="Y261:Y267" si="779">ROUND(S261*Q261*12,2)</f>
        <v>0</v>
      </c>
      <c r="Z261" s="11">
        <f t="shared" ref="Z261:Z267" si="780">Y261-AA261-AB261</f>
        <v>0</v>
      </c>
      <c r="AA261" s="11"/>
      <c r="AB261" s="11"/>
      <c r="AC261" s="554">
        <f t="shared" ref="AC261:AC267" si="781">AD261+AE261+AF261</f>
        <v>3656237.04</v>
      </c>
      <c r="AD261" s="433">
        <f t="shared" ref="AD261:AD267" si="782">ROUND((Z261+V261),2)</f>
        <v>3656237.04</v>
      </c>
      <c r="AE261" s="11">
        <f t="shared" ref="AE261:AF267" si="783">AA261+W261</f>
        <v>0</v>
      </c>
      <c r="AF261" s="11">
        <f t="shared" si="783"/>
        <v>0</v>
      </c>
      <c r="AG261" s="544">
        <f t="shared" ref="AG261:AG267" si="784">ROUND(AD261*1.302,2)</f>
        <v>4760420.63</v>
      </c>
      <c r="AH261" s="849">
        <v>8374000</v>
      </c>
      <c r="AI261" s="1084"/>
      <c r="AJ261" s="850"/>
      <c r="AK261" s="850"/>
      <c r="AL261" s="557">
        <v>50781.07</v>
      </c>
      <c r="AM261" s="557">
        <f t="shared" si="643"/>
        <v>0</v>
      </c>
      <c r="AN261" s="1233">
        <f>AO261-P261</f>
        <v>0</v>
      </c>
      <c r="AO261" s="444">
        <v>6</v>
      </c>
      <c r="AP261" s="17"/>
      <c r="AQ261" s="554">
        <f>AR261+AV261</f>
        <v>3656237</v>
      </c>
      <c r="AR261" s="545">
        <f t="shared" si="775"/>
        <v>3656237</v>
      </c>
      <c r="AS261" s="11">
        <f t="shared" ref="AS261:AS267" si="785">AR261-AT261-AU261</f>
        <v>3656237</v>
      </c>
      <c r="AT261" s="11">
        <f>W261</f>
        <v>0</v>
      </c>
      <c r="AU261" s="11">
        <f t="shared" ref="AU261:AU267" si="786">X261</f>
        <v>0</v>
      </c>
      <c r="AV261" s="545">
        <f t="shared" si="758"/>
        <v>0</v>
      </c>
      <c r="AW261" s="11">
        <f t="shared" ref="AW261:AW267" si="787">AV261-AX261-AY261</f>
        <v>0</v>
      </c>
      <c r="AX261" s="11">
        <f t="shared" ref="AX261:AY267" si="788">AA261</f>
        <v>0</v>
      </c>
      <c r="AY261" s="11">
        <f t="shared" si="788"/>
        <v>0</v>
      </c>
      <c r="AZ261" s="18">
        <f>AX261+AT261</f>
        <v>0</v>
      </c>
      <c r="BA261" s="18">
        <f t="shared" ref="BA261:BA267" si="789">AY261+AU261</f>
        <v>0</v>
      </c>
      <c r="BB261" s="19">
        <f>AW261+AS261</f>
        <v>3656237</v>
      </c>
      <c r="BC261" s="544">
        <f>ROUND(BB261*1.302,1)</f>
        <v>4760420.5999999996</v>
      </c>
      <c r="BD261" s="544"/>
      <c r="BE261" s="11"/>
      <c r="BF261" s="445"/>
      <c r="BG261" s="11"/>
      <c r="BH261" s="872"/>
    </row>
    <row r="262" spans="1:61">
      <c r="A262" s="11">
        <v>2</v>
      </c>
      <c r="B262" s="13" t="s">
        <v>72</v>
      </c>
      <c r="C262" s="17">
        <v>23.3</v>
      </c>
      <c r="D262" s="17"/>
      <c r="E262" s="11">
        <v>9388.2000000000007</v>
      </c>
      <c r="F262" s="11"/>
      <c r="G262" s="555">
        <v>33577.25</v>
      </c>
      <c r="H262" s="545" t="e">
        <f t="shared" ref="H262:H267" si="790">I262+J262+K262</f>
        <v>#REF!</v>
      </c>
      <c r="I262" s="11" t="e">
        <f t="shared" si="776"/>
        <v>#REF!</v>
      </c>
      <c r="J262" s="11"/>
      <c r="K262" s="11" t="e">
        <f>'[11]Смарт 2015'!G244</f>
        <v>#REF!</v>
      </c>
      <c r="L262" s="684" t="e">
        <f t="shared" ref="L262:L267" si="791">M262+O262</f>
        <v>#REF!</v>
      </c>
      <c r="M262" s="11" t="e">
        <f t="shared" ref="M262:M267" si="792">F262-O262</f>
        <v>#REF!</v>
      </c>
      <c r="N262" s="862">
        <f t="shared" ref="N262:N267" si="793">P262-C262</f>
        <v>0.69999999999999929</v>
      </c>
      <c r="O262" s="439" t="e">
        <f>'[11]Смарт 2015'!L254</f>
        <v>#REF!</v>
      </c>
      <c r="P262" s="444">
        <v>24</v>
      </c>
      <c r="Q262" s="17"/>
      <c r="R262" s="555">
        <v>33577.25</v>
      </c>
      <c r="S262" s="555"/>
      <c r="T262" s="554">
        <f t="shared" ref="T262:T267" si="794">U262+Y262</f>
        <v>9670248</v>
      </c>
      <c r="U262" s="556">
        <f t="shared" si="777"/>
        <v>9670248</v>
      </c>
      <c r="V262" s="433">
        <f t="shared" si="778"/>
        <v>9670248</v>
      </c>
      <c r="W262" s="11"/>
      <c r="X262" s="11"/>
      <c r="Y262" s="556">
        <f t="shared" si="779"/>
        <v>0</v>
      </c>
      <c r="Z262" s="11">
        <f t="shared" si="780"/>
        <v>0</v>
      </c>
      <c r="AA262" s="11"/>
      <c r="AB262" s="11"/>
      <c r="AC262" s="554">
        <f t="shared" si="781"/>
        <v>9670248</v>
      </c>
      <c r="AD262" s="433">
        <f t="shared" si="782"/>
        <v>9670248</v>
      </c>
      <c r="AE262" s="11">
        <f t="shared" si="783"/>
        <v>0</v>
      </c>
      <c r="AF262" s="11">
        <f t="shared" si="783"/>
        <v>0</v>
      </c>
      <c r="AG262" s="544">
        <f t="shared" si="784"/>
        <v>12590662.9</v>
      </c>
      <c r="AH262" s="849">
        <f>AH260-AH261</f>
        <v>-27285.430000010878</v>
      </c>
      <c r="AI262" s="1084"/>
      <c r="AJ262" s="850"/>
      <c r="AK262" s="850"/>
      <c r="AL262" s="557">
        <v>33577.25</v>
      </c>
      <c r="AM262" s="557">
        <f t="shared" si="643"/>
        <v>0</v>
      </c>
      <c r="AN262" s="1233"/>
      <c r="AO262" s="444">
        <v>24</v>
      </c>
      <c r="AP262" s="17"/>
      <c r="AQ262" s="554">
        <f t="shared" ref="AQ262:AQ267" si="795">AR262+AV262</f>
        <v>9670248</v>
      </c>
      <c r="AR262" s="545">
        <f t="shared" si="775"/>
        <v>9670248</v>
      </c>
      <c r="AS262" s="11">
        <f t="shared" si="785"/>
        <v>9670248</v>
      </c>
      <c r="AT262" s="11">
        <f t="shared" ref="AT262:AT267" si="796">W262</f>
        <v>0</v>
      </c>
      <c r="AU262" s="11">
        <f t="shared" si="786"/>
        <v>0</v>
      </c>
      <c r="AV262" s="545">
        <f t="shared" si="758"/>
        <v>0</v>
      </c>
      <c r="AW262" s="11">
        <f t="shared" si="787"/>
        <v>0</v>
      </c>
      <c r="AX262" s="11">
        <f t="shared" si="788"/>
        <v>0</v>
      </c>
      <c r="AY262" s="11">
        <f t="shared" si="788"/>
        <v>0</v>
      </c>
      <c r="AZ262" s="18">
        <f t="shared" ref="AZ262:AZ267" si="797">AX262+AT262</f>
        <v>0</v>
      </c>
      <c r="BA262" s="18">
        <f t="shared" si="789"/>
        <v>0</v>
      </c>
      <c r="BB262" s="19">
        <f t="shared" ref="BB262:BB267" si="798">AW262+AS262</f>
        <v>9670248</v>
      </c>
      <c r="BC262" s="544">
        <f t="shared" ref="BC262:BC267" si="799">ROUND(BB262*1.302,1)</f>
        <v>12590662.9</v>
      </c>
      <c r="BD262" s="544"/>
      <c r="BE262" s="11"/>
      <c r="BF262" s="445"/>
      <c r="BG262" s="11"/>
      <c r="BH262" s="872"/>
    </row>
    <row r="263" spans="1:61">
      <c r="A263" s="11">
        <v>3</v>
      </c>
      <c r="B263" s="14" t="s">
        <v>76</v>
      </c>
      <c r="C263" s="17">
        <v>207.2</v>
      </c>
      <c r="D263" s="17">
        <v>11.8</v>
      </c>
      <c r="E263" s="11">
        <v>58241.8</v>
      </c>
      <c r="F263" s="11">
        <v>1575.5</v>
      </c>
      <c r="G263" s="555">
        <v>23424.15</v>
      </c>
      <c r="H263" s="545" t="e">
        <f t="shared" si="790"/>
        <v>#REF!</v>
      </c>
      <c r="I263" s="11" t="e">
        <f t="shared" si="776"/>
        <v>#REF!</v>
      </c>
      <c r="J263" s="11"/>
      <c r="K263" s="11" t="e">
        <f>'[11]Смарт 2015'!G247</f>
        <v>#REF!</v>
      </c>
      <c r="L263" s="684" t="e">
        <f t="shared" si="791"/>
        <v>#REF!</v>
      </c>
      <c r="M263" s="11" t="e">
        <f t="shared" si="792"/>
        <v>#REF!</v>
      </c>
      <c r="N263" s="862">
        <f t="shared" si="793"/>
        <v>0.80000000000001137</v>
      </c>
      <c r="O263" s="439" t="e">
        <f>'[11]Смарт 2015'!L247</f>
        <v>#REF!</v>
      </c>
      <c r="P263" s="444">
        <v>208</v>
      </c>
      <c r="Q263" s="17">
        <v>12.8</v>
      </c>
      <c r="R263" s="29">
        <v>23424.15</v>
      </c>
      <c r="S263" s="555">
        <f>ROUND(F263/D263/12*1000,2)</f>
        <v>11126.41</v>
      </c>
      <c r="T263" s="554">
        <f t="shared" si="794"/>
        <v>60175694.979999997</v>
      </c>
      <c r="U263" s="556">
        <f t="shared" si="777"/>
        <v>58466678.399999999</v>
      </c>
      <c r="V263" s="433">
        <f t="shared" si="778"/>
        <v>58466678.399999999</v>
      </c>
      <c r="W263" s="11"/>
      <c r="X263" s="11"/>
      <c r="Y263" s="556">
        <f t="shared" si="779"/>
        <v>1709016.58</v>
      </c>
      <c r="Z263" s="11">
        <f t="shared" si="780"/>
        <v>1709016.58</v>
      </c>
      <c r="AA263" s="11"/>
      <c r="AB263" s="11"/>
      <c r="AC263" s="554">
        <f t="shared" si="781"/>
        <v>60175694.979999997</v>
      </c>
      <c r="AD263" s="433">
        <f t="shared" si="782"/>
        <v>60175694.979999997</v>
      </c>
      <c r="AE263" s="11">
        <f t="shared" si="783"/>
        <v>0</v>
      </c>
      <c r="AF263" s="11">
        <f t="shared" si="783"/>
        <v>0</v>
      </c>
      <c r="AG263" s="544">
        <f t="shared" si="784"/>
        <v>78348754.859999999</v>
      </c>
      <c r="AH263" s="849"/>
      <c r="AI263" s="1084"/>
      <c r="AJ263" s="850"/>
      <c r="AK263" s="850"/>
      <c r="AL263" s="557">
        <v>23424.15</v>
      </c>
      <c r="AM263" s="557">
        <f t="shared" si="643"/>
        <v>11126.41</v>
      </c>
      <c r="AN263" s="1233"/>
      <c r="AO263" s="444">
        <v>208</v>
      </c>
      <c r="AP263" s="17">
        <v>12.8</v>
      </c>
      <c r="AQ263" s="554">
        <f t="shared" si="795"/>
        <v>60175694.979999997</v>
      </c>
      <c r="AR263" s="545">
        <f t="shared" si="775"/>
        <v>58466678.399999999</v>
      </c>
      <c r="AS263" s="11">
        <f t="shared" si="785"/>
        <v>58466678.399999999</v>
      </c>
      <c r="AT263" s="11">
        <f t="shared" si="796"/>
        <v>0</v>
      </c>
      <c r="AU263" s="11">
        <f t="shared" si="786"/>
        <v>0</v>
      </c>
      <c r="AV263" s="545">
        <f t="shared" si="758"/>
        <v>1709016.58</v>
      </c>
      <c r="AW263" s="11">
        <f t="shared" si="787"/>
        <v>1709016.58</v>
      </c>
      <c r="AX263" s="11">
        <f t="shared" si="788"/>
        <v>0</v>
      </c>
      <c r="AY263" s="11">
        <f t="shared" si="788"/>
        <v>0</v>
      </c>
      <c r="AZ263" s="18">
        <f t="shared" si="797"/>
        <v>0</v>
      </c>
      <c r="BA263" s="18">
        <f t="shared" si="789"/>
        <v>0</v>
      </c>
      <c r="BB263" s="19">
        <f t="shared" si="798"/>
        <v>60175694.979999997</v>
      </c>
      <c r="BC263" s="544">
        <f t="shared" si="799"/>
        <v>78348754.900000006</v>
      </c>
      <c r="BD263" s="544"/>
      <c r="BE263" s="11"/>
      <c r="BF263" s="445"/>
      <c r="BG263" s="11"/>
      <c r="BH263" s="872"/>
    </row>
    <row r="264" spans="1:61">
      <c r="A264" s="11">
        <v>4</v>
      </c>
      <c r="B264" s="14" t="s">
        <v>77</v>
      </c>
      <c r="C264" s="17"/>
      <c r="D264" s="17"/>
      <c r="E264" s="11"/>
      <c r="F264" s="11"/>
      <c r="G264" s="555"/>
      <c r="H264" s="545" t="e">
        <f t="shared" si="790"/>
        <v>#REF!</v>
      </c>
      <c r="I264" s="11" t="e">
        <f t="shared" si="776"/>
        <v>#REF!</v>
      </c>
      <c r="J264" s="11"/>
      <c r="K264" s="11" t="e">
        <f>'[11]Смарт 2015'!G246</f>
        <v>#REF!</v>
      </c>
      <c r="L264" s="684" t="e">
        <f t="shared" si="791"/>
        <v>#REF!</v>
      </c>
      <c r="M264" s="11" t="e">
        <f t="shared" si="792"/>
        <v>#REF!</v>
      </c>
      <c r="N264" s="862">
        <f t="shared" si="793"/>
        <v>0</v>
      </c>
      <c r="O264" s="439" t="e">
        <f>'[11]Смарт 2015'!L256</f>
        <v>#REF!</v>
      </c>
      <c r="P264" s="444"/>
      <c r="Q264" s="17"/>
      <c r="R264" s="555"/>
      <c r="S264" s="555"/>
      <c r="T264" s="554">
        <f t="shared" si="794"/>
        <v>0</v>
      </c>
      <c r="U264" s="556">
        <f t="shared" si="777"/>
        <v>0</v>
      </c>
      <c r="V264" s="433">
        <f t="shared" si="778"/>
        <v>0</v>
      </c>
      <c r="W264" s="11"/>
      <c r="X264" s="11"/>
      <c r="Y264" s="556">
        <f t="shared" si="779"/>
        <v>0</v>
      </c>
      <c r="Z264" s="11">
        <f t="shared" si="780"/>
        <v>0</v>
      </c>
      <c r="AA264" s="11"/>
      <c r="AB264" s="11"/>
      <c r="AC264" s="554">
        <f t="shared" si="781"/>
        <v>0</v>
      </c>
      <c r="AD264" s="433">
        <f t="shared" si="782"/>
        <v>0</v>
      </c>
      <c r="AE264" s="11">
        <f t="shared" si="783"/>
        <v>0</v>
      </c>
      <c r="AF264" s="11">
        <f t="shared" si="783"/>
        <v>0</v>
      </c>
      <c r="AG264" s="544">
        <f t="shared" si="784"/>
        <v>0</v>
      </c>
      <c r="AH264" s="849"/>
      <c r="AI264" s="1084"/>
      <c r="AJ264" s="850"/>
      <c r="AK264" s="850"/>
      <c r="AL264" s="557"/>
      <c r="AM264" s="557">
        <f t="shared" si="643"/>
        <v>0</v>
      </c>
      <c r="AN264" s="1233"/>
      <c r="AO264" s="444"/>
      <c r="AP264" s="17"/>
      <c r="AQ264" s="554">
        <f t="shared" si="795"/>
        <v>0</v>
      </c>
      <c r="AR264" s="545">
        <f t="shared" si="775"/>
        <v>0</v>
      </c>
      <c r="AS264" s="11">
        <f t="shared" si="785"/>
        <v>0</v>
      </c>
      <c r="AT264" s="11">
        <f t="shared" si="796"/>
        <v>0</v>
      </c>
      <c r="AU264" s="11">
        <f t="shared" si="786"/>
        <v>0</v>
      </c>
      <c r="AV264" s="545">
        <f t="shared" si="758"/>
        <v>0</v>
      </c>
      <c r="AW264" s="11">
        <f t="shared" si="787"/>
        <v>0</v>
      </c>
      <c r="AX264" s="11">
        <f t="shared" si="788"/>
        <v>0</v>
      </c>
      <c r="AY264" s="11">
        <f t="shared" si="788"/>
        <v>0</v>
      </c>
      <c r="AZ264" s="18">
        <f t="shared" si="797"/>
        <v>0</v>
      </c>
      <c r="BA264" s="18">
        <f t="shared" si="789"/>
        <v>0</v>
      </c>
      <c r="BB264" s="19">
        <f t="shared" si="798"/>
        <v>0</v>
      </c>
      <c r="BC264" s="544">
        <f t="shared" si="799"/>
        <v>0</v>
      </c>
      <c r="BD264" s="544"/>
      <c r="BE264" s="11"/>
      <c r="BF264" s="445"/>
      <c r="BG264" s="11"/>
      <c r="BH264" s="872"/>
    </row>
    <row r="265" spans="1:61">
      <c r="A265" s="11">
        <v>5</v>
      </c>
      <c r="B265" s="13" t="s">
        <v>73</v>
      </c>
      <c r="C265" s="17"/>
      <c r="D265" s="17"/>
      <c r="E265" s="11"/>
      <c r="F265" s="11"/>
      <c r="G265" s="555"/>
      <c r="H265" s="545">
        <f t="shared" si="790"/>
        <v>0</v>
      </c>
      <c r="I265" s="11">
        <f t="shared" si="776"/>
        <v>0</v>
      </c>
      <c r="J265" s="11"/>
      <c r="K265" s="11"/>
      <c r="L265" s="684">
        <f t="shared" si="791"/>
        <v>0</v>
      </c>
      <c r="M265" s="11">
        <f t="shared" si="792"/>
        <v>0</v>
      </c>
      <c r="N265" s="862">
        <f t="shared" si="793"/>
        <v>0</v>
      </c>
      <c r="O265" s="439"/>
      <c r="P265" s="444"/>
      <c r="Q265" s="17"/>
      <c r="R265" s="555"/>
      <c r="S265" s="555"/>
      <c r="T265" s="554">
        <f t="shared" si="794"/>
        <v>0</v>
      </c>
      <c r="U265" s="556">
        <f t="shared" si="777"/>
        <v>0</v>
      </c>
      <c r="V265" s="433">
        <f t="shared" si="778"/>
        <v>0</v>
      </c>
      <c r="W265" s="11"/>
      <c r="X265" s="11"/>
      <c r="Y265" s="556">
        <f t="shared" si="779"/>
        <v>0</v>
      </c>
      <c r="Z265" s="11">
        <f t="shared" si="780"/>
        <v>0</v>
      </c>
      <c r="AA265" s="11"/>
      <c r="AB265" s="11"/>
      <c r="AC265" s="554">
        <f t="shared" si="781"/>
        <v>0</v>
      </c>
      <c r="AD265" s="433">
        <f t="shared" si="782"/>
        <v>0</v>
      </c>
      <c r="AE265" s="11">
        <f t="shared" si="783"/>
        <v>0</v>
      </c>
      <c r="AF265" s="11">
        <f t="shared" si="783"/>
        <v>0</v>
      </c>
      <c r="AG265" s="544">
        <f t="shared" si="784"/>
        <v>0</v>
      </c>
      <c r="AH265" s="849"/>
      <c r="AI265" s="1084"/>
      <c r="AJ265" s="850"/>
      <c r="AK265" s="850"/>
      <c r="AL265" s="557"/>
      <c r="AM265" s="557">
        <f t="shared" si="643"/>
        <v>0</v>
      </c>
      <c r="AN265" s="1233"/>
      <c r="AO265" s="444"/>
      <c r="AP265" s="17"/>
      <c r="AQ265" s="554">
        <f t="shared" si="795"/>
        <v>0</v>
      </c>
      <c r="AR265" s="545">
        <f t="shared" si="775"/>
        <v>0</v>
      </c>
      <c r="AS265" s="11">
        <f t="shared" si="785"/>
        <v>0</v>
      </c>
      <c r="AT265" s="11">
        <f t="shared" si="796"/>
        <v>0</v>
      </c>
      <c r="AU265" s="11">
        <f t="shared" si="786"/>
        <v>0</v>
      </c>
      <c r="AV265" s="545">
        <f t="shared" si="758"/>
        <v>0</v>
      </c>
      <c r="AW265" s="11">
        <f t="shared" si="787"/>
        <v>0</v>
      </c>
      <c r="AX265" s="11">
        <f t="shared" si="788"/>
        <v>0</v>
      </c>
      <c r="AY265" s="11">
        <f t="shared" si="788"/>
        <v>0</v>
      </c>
      <c r="AZ265" s="18">
        <f t="shared" si="797"/>
        <v>0</v>
      </c>
      <c r="BA265" s="18">
        <f t="shared" si="789"/>
        <v>0</v>
      </c>
      <c r="BB265" s="19">
        <f t="shared" si="798"/>
        <v>0</v>
      </c>
      <c r="BC265" s="544">
        <f t="shared" si="799"/>
        <v>0</v>
      </c>
      <c r="BD265" s="544"/>
      <c r="BE265" s="11"/>
      <c r="BF265" s="445"/>
      <c r="BG265" s="11"/>
      <c r="BH265" s="872"/>
    </row>
    <row r="266" spans="1:61">
      <c r="A266" s="11">
        <v>6</v>
      </c>
      <c r="B266" s="13" t="s">
        <v>74</v>
      </c>
      <c r="C266" s="17"/>
      <c r="D266" s="17">
        <v>0</v>
      </c>
      <c r="E266" s="11"/>
      <c r="F266" s="11">
        <v>0</v>
      </c>
      <c r="G266" s="555"/>
      <c r="H266" s="545">
        <f t="shared" si="790"/>
        <v>0</v>
      </c>
      <c r="I266" s="11">
        <f t="shared" si="776"/>
        <v>0</v>
      </c>
      <c r="J266" s="11"/>
      <c r="K266" s="11"/>
      <c r="L266" s="684" t="e">
        <f t="shared" si="791"/>
        <v>#REF!</v>
      </c>
      <c r="M266" s="11" t="e">
        <f t="shared" si="792"/>
        <v>#REF!</v>
      </c>
      <c r="N266" s="862">
        <f t="shared" si="793"/>
        <v>0</v>
      </c>
      <c r="O266" s="439" t="e">
        <f>'[11]Смарт 2015'!L260</f>
        <v>#REF!</v>
      </c>
      <c r="P266" s="444"/>
      <c r="Q266" s="17"/>
      <c r="R266" s="555"/>
      <c r="S266" s="555"/>
      <c r="T266" s="554">
        <f t="shared" si="794"/>
        <v>0</v>
      </c>
      <c r="U266" s="556">
        <f t="shared" si="777"/>
        <v>0</v>
      </c>
      <c r="V266" s="433">
        <f t="shared" si="778"/>
        <v>0</v>
      </c>
      <c r="W266" s="11"/>
      <c r="X266" s="11"/>
      <c r="Y266" s="556">
        <f t="shared" si="779"/>
        <v>0</v>
      </c>
      <c r="Z266" s="11">
        <f t="shared" si="780"/>
        <v>0</v>
      </c>
      <c r="AA266" s="11"/>
      <c r="AB266" s="11"/>
      <c r="AC266" s="554">
        <f t="shared" si="781"/>
        <v>0</v>
      </c>
      <c r="AD266" s="433">
        <f t="shared" si="782"/>
        <v>0</v>
      </c>
      <c r="AE266" s="11">
        <f t="shared" si="783"/>
        <v>0</v>
      </c>
      <c r="AF266" s="11">
        <f t="shared" si="783"/>
        <v>0</v>
      </c>
      <c r="AG266" s="544">
        <f t="shared" si="784"/>
        <v>0</v>
      </c>
      <c r="AH266" s="849"/>
      <c r="AI266" s="1084"/>
      <c r="AJ266" s="850"/>
      <c r="AK266" s="850"/>
      <c r="AL266" s="557"/>
      <c r="AM266" s="557">
        <f t="shared" si="643"/>
        <v>0</v>
      </c>
      <c r="AN266" s="1233"/>
      <c r="AO266" s="444"/>
      <c r="AP266" s="17"/>
      <c r="AQ266" s="554">
        <f t="shared" si="795"/>
        <v>0</v>
      </c>
      <c r="AR266" s="545">
        <f t="shared" si="775"/>
        <v>0</v>
      </c>
      <c r="AS266" s="11">
        <f t="shared" si="785"/>
        <v>0</v>
      </c>
      <c r="AT266" s="11">
        <f t="shared" si="796"/>
        <v>0</v>
      </c>
      <c r="AU266" s="11">
        <f t="shared" si="786"/>
        <v>0</v>
      </c>
      <c r="AV266" s="545">
        <f t="shared" si="758"/>
        <v>0</v>
      </c>
      <c r="AW266" s="11">
        <f t="shared" si="787"/>
        <v>0</v>
      </c>
      <c r="AX266" s="11">
        <f t="shared" si="788"/>
        <v>0</v>
      </c>
      <c r="AY266" s="11">
        <f t="shared" si="788"/>
        <v>0</v>
      </c>
      <c r="AZ266" s="18">
        <f t="shared" si="797"/>
        <v>0</v>
      </c>
      <c r="BA266" s="18">
        <f t="shared" si="789"/>
        <v>0</v>
      </c>
      <c r="BB266" s="19">
        <f t="shared" si="798"/>
        <v>0</v>
      </c>
      <c r="BC266" s="544">
        <f t="shared" si="799"/>
        <v>0</v>
      </c>
      <c r="BD266" s="544"/>
      <c r="BE266" s="11"/>
      <c r="BF266" s="445"/>
      <c r="BG266" s="11"/>
      <c r="BH266" s="872"/>
    </row>
    <row r="267" spans="1:61">
      <c r="A267" s="11">
        <v>7</v>
      </c>
      <c r="B267" s="1131" t="s">
        <v>814</v>
      </c>
      <c r="C267" s="17">
        <v>134.5</v>
      </c>
      <c r="D267" s="17">
        <v>14.3</v>
      </c>
      <c r="E267" s="11">
        <v>15598.6</v>
      </c>
      <c r="F267" s="11">
        <v>1534</v>
      </c>
      <c r="G267" s="555">
        <v>9664.56</v>
      </c>
      <c r="H267" s="545" t="e">
        <f t="shared" si="790"/>
        <v>#REF!</v>
      </c>
      <c r="I267" s="11" t="e">
        <f t="shared" si="776"/>
        <v>#REF!</v>
      </c>
      <c r="J267" s="11"/>
      <c r="K267" s="11" t="e">
        <f>'[11]Смарт 2015'!G248+'[11]Смарт 2015'!G249</f>
        <v>#REF!</v>
      </c>
      <c r="L267" s="684" t="e">
        <f t="shared" si="791"/>
        <v>#REF!</v>
      </c>
      <c r="M267" s="11" t="e">
        <f t="shared" si="792"/>
        <v>#REF!</v>
      </c>
      <c r="N267" s="862">
        <f t="shared" si="793"/>
        <v>1.5</v>
      </c>
      <c r="O267" s="11" t="e">
        <f>'[11]Смарт 2015'!L258</f>
        <v>#REF!</v>
      </c>
      <c r="P267" s="17">
        <v>136</v>
      </c>
      <c r="Q267" s="17">
        <v>15</v>
      </c>
      <c r="R267" s="555">
        <v>9887</v>
      </c>
      <c r="S267" s="555">
        <v>9145</v>
      </c>
      <c r="T267" s="554">
        <f t="shared" si="794"/>
        <v>17781684</v>
      </c>
      <c r="U267" s="556">
        <f t="shared" si="777"/>
        <v>16135584</v>
      </c>
      <c r="V267" s="433">
        <f t="shared" si="778"/>
        <v>16135584</v>
      </c>
      <c r="W267" s="11"/>
      <c r="X267" s="11"/>
      <c r="Y267" s="556">
        <f t="shared" si="779"/>
        <v>1646100</v>
      </c>
      <c r="Z267" s="11">
        <f t="shared" si="780"/>
        <v>1646100</v>
      </c>
      <c r="AA267" s="11"/>
      <c r="AB267" s="11"/>
      <c r="AC267" s="554">
        <f t="shared" si="781"/>
        <v>17781684</v>
      </c>
      <c r="AD267" s="433">
        <f t="shared" si="782"/>
        <v>17781684</v>
      </c>
      <c r="AE267" s="11">
        <f t="shared" si="783"/>
        <v>0</v>
      </c>
      <c r="AF267" s="11">
        <f t="shared" si="783"/>
        <v>0</v>
      </c>
      <c r="AG267" s="544">
        <f t="shared" si="784"/>
        <v>23151752.57</v>
      </c>
      <c r="AH267" s="849"/>
      <c r="AI267" s="1084"/>
      <c r="AJ267" s="850"/>
      <c r="AK267" s="850"/>
      <c r="AL267" s="557">
        <v>9950</v>
      </c>
      <c r="AM267" s="555">
        <v>9250</v>
      </c>
      <c r="AN267" s="1233"/>
      <c r="AO267" s="17">
        <v>136</v>
      </c>
      <c r="AP267" s="17">
        <v>15</v>
      </c>
      <c r="AQ267" s="554">
        <f t="shared" si="795"/>
        <v>17903400</v>
      </c>
      <c r="AR267" s="545">
        <f t="shared" si="775"/>
        <v>16238400</v>
      </c>
      <c r="AS267" s="11">
        <f t="shared" si="785"/>
        <v>16238400</v>
      </c>
      <c r="AT267" s="11">
        <f t="shared" si="796"/>
        <v>0</v>
      </c>
      <c r="AU267" s="11">
        <f t="shared" si="786"/>
        <v>0</v>
      </c>
      <c r="AV267" s="545">
        <f t="shared" si="758"/>
        <v>1665000</v>
      </c>
      <c r="AW267" s="11">
        <f t="shared" si="787"/>
        <v>1665000</v>
      </c>
      <c r="AX267" s="11">
        <f t="shared" si="788"/>
        <v>0</v>
      </c>
      <c r="AY267" s="11">
        <f t="shared" si="788"/>
        <v>0</v>
      </c>
      <c r="AZ267" s="18">
        <f t="shared" si="797"/>
        <v>0</v>
      </c>
      <c r="BA267" s="18">
        <f t="shared" si="789"/>
        <v>0</v>
      </c>
      <c r="BB267" s="19">
        <f t="shared" si="798"/>
        <v>17903400</v>
      </c>
      <c r="BC267" s="544">
        <f t="shared" si="799"/>
        <v>23310226.800000001</v>
      </c>
      <c r="BD267" s="544"/>
      <c r="BE267" s="11"/>
      <c r="BF267" s="850"/>
      <c r="BG267" s="11"/>
      <c r="BH267" s="872"/>
    </row>
    <row r="268" spans="1:61" ht="13.5" thickBot="1">
      <c r="A268" s="770"/>
      <c r="B268" s="1132" t="s">
        <v>815</v>
      </c>
      <c r="C268" s="1164"/>
      <c r="D268" s="1164"/>
      <c r="E268" s="1044"/>
      <c r="F268" s="1044"/>
      <c r="G268" s="1165"/>
      <c r="H268" s="1166"/>
      <c r="I268" s="1044"/>
      <c r="J268" s="1044"/>
      <c r="K268" s="1044"/>
      <c r="L268" s="1167"/>
      <c r="M268" s="1044"/>
      <c r="N268" s="1168"/>
      <c r="O268" s="1044"/>
      <c r="P268" s="1164"/>
      <c r="Q268" s="1164"/>
      <c r="R268" s="1165"/>
      <c r="S268" s="1165"/>
      <c r="T268" s="1169"/>
      <c r="U268" s="1170"/>
      <c r="V268" s="1171"/>
      <c r="W268" s="1044"/>
      <c r="X268" s="1044"/>
      <c r="Y268" s="1170"/>
      <c r="Z268" s="1044"/>
      <c r="AA268" s="1044"/>
      <c r="AB268" s="1044"/>
      <c r="AC268" s="1169"/>
      <c r="AD268" s="1171"/>
      <c r="AE268" s="1044"/>
      <c r="AF268" s="1044"/>
      <c r="AG268" s="1172"/>
      <c r="AH268" s="1173"/>
      <c r="AI268" s="1174"/>
      <c r="AJ268" s="850"/>
      <c r="AK268" s="850"/>
      <c r="AL268" s="1175"/>
      <c r="AM268" s="1165"/>
      <c r="AN268" s="1233">
        <f>AO268-P268</f>
        <v>0</v>
      </c>
      <c r="AO268" s="1164"/>
      <c r="AP268" s="1164"/>
      <c r="AQ268" s="1169"/>
      <c r="AR268" s="1166"/>
      <c r="AS268" s="1044"/>
      <c r="AT268" s="1044"/>
      <c r="AU268" s="1044"/>
      <c r="AV268" s="1166"/>
      <c r="AW268" s="1044"/>
      <c r="AX268" s="1044"/>
      <c r="AY268" s="1044"/>
      <c r="AZ268" s="1176"/>
      <c r="BA268" s="1176"/>
      <c r="BB268" s="1177"/>
      <c r="BC268" s="1172"/>
      <c r="BD268" s="1172"/>
      <c r="BE268" s="1044"/>
      <c r="BF268" s="1178"/>
      <c r="BG268" s="1044"/>
      <c r="BH268" s="872"/>
    </row>
    <row r="269" spans="1:61" ht="28.15" customHeight="1" thickBot="1">
      <c r="A269" s="448"/>
      <c r="B269" s="447" t="s">
        <v>650</v>
      </c>
      <c r="C269" s="446">
        <f>C260+C251+C242+C233+C224+C215+C206+C197+C188+C179+C170+C161+C152+C143+C134+C125+C116+C107+C98+C89+C80+C71+C62+C53+C44+C35+C26+C17+C8</f>
        <v>14880.800000000003</v>
      </c>
      <c r="D269" s="446">
        <f t="shared" ref="D269:BI269" si="800">D260+D251+D242+D233+D224+D215+D206+D197+D188+D179+D170+D161+D152+D143+D134+D125+D116+D107+D98+D89+D80+D71+D62+D53+D44+D35+D26+D17+D8</f>
        <v>605.20000000000005</v>
      </c>
      <c r="E269" s="446">
        <f t="shared" si="800"/>
        <v>3628954.3</v>
      </c>
      <c r="F269" s="446">
        <f t="shared" si="800"/>
        <v>85596</v>
      </c>
      <c r="G269" s="446">
        <f t="shared" si="800"/>
        <v>541832.78</v>
      </c>
      <c r="H269" s="446" t="e">
        <f t="shared" si="800"/>
        <v>#REF!</v>
      </c>
      <c r="I269" s="446" t="e">
        <f t="shared" si="800"/>
        <v>#REF!</v>
      </c>
      <c r="J269" s="446">
        <f t="shared" si="800"/>
        <v>10148.5</v>
      </c>
      <c r="K269" s="446" t="e">
        <f t="shared" si="800"/>
        <v>#REF!</v>
      </c>
      <c r="L269" s="446" t="e">
        <f t="shared" si="800"/>
        <v>#REF!</v>
      </c>
      <c r="M269" s="446" t="e">
        <f t="shared" si="800"/>
        <v>#REF!</v>
      </c>
      <c r="N269" s="446">
        <f t="shared" si="800"/>
        <v>227.80000000000013</v>
      </c>
      <c r="O269" s="446" t="e">
        <f t="shared" si="800"/>
        <v>#REF!</v>
      </c>
      <c r="P269" s="446">
        <f t="shared" si="800"/>
        <v>15173.35</v>
      </c>
      <c r="Q269" s="446">
        <f t="shared" si="800"/>
        <v>682</v>
      </c>
      <c r="R269" s="446">
        <f t="shared" si="800"/>
        <v>542881.39999999991</v>
      </c>
      <c r="S269" s="446"/>
      <c r="T269" s="446"/>
      <c r="U269" s="446">
        <f t="shared" si="800"/>
        <v>3691954788.9000006</v>
      </c>
      <c r="V269" s="446">
        <f t="shared" si="800"/>
        <v>3597942902</v>
      </c>
      <c r="W269" s="446">
        <f t="shared" si="800"/>
        <v>11675558.9</v>
      </c>
      <c r="X269" s="446">
        <f t="shared" si="800"/>
        <v>82337828</v>
      </c>
      <c r="Y269" s="446">
        <f t="shared" si="800"/>
        <v>93886760.289999992</v>
      </c>
      <c r="Z269" s="446">
        <f t="shared" si="800"/>
        <v>92748760.289999992</v>
      </c>
      <c r="AA269" s="446">
        <f t="shared" si="800"/>
        <v>85700</v>
      </c>
      <c r="AB269" s="446">
        <f t="shared" si="800"/>
        <v>1052300</v>
      </c>
      <c r="AC269" s="446">
        <f t="shared" si="800"/>
        <v>3785843049.1899996</v>
      </c>
      <c r="AD269" s="446">
        <f t="shared" si="800"/>
        <v>3690691662.29</v>
      </c>
      <c r="AE269" s="446">
        <f t="shared" si="800"/>
        <v>11761258.9</v>
      </c>
      <c r="AF269" s="446">
        <f t="shared" si="800"/>
        <v>83390128</v>
      </c>
      <c r="AG269" s="446">
        <f t="shared" si="800"/>
        <v>4805280544.2800007</v>
      </c>
      <c r="AH269" s="446">
        <f t="shared" si="800"/>
        <v>261773409.44999996</v>
      </c>
      <c r="AI269" s="1098">
        <f t="shared" si="800"/>
        <v>5045752042.6900005</v>
      </c>
      <c r="AJ269" s="1101"/>
      <c r="AK269" s="1101"/>
      <c r="AL269" s="1099">
        <f t="shared" si="800"/>
        <v>542769.15</v>
      </c>
      <c r="AM269" s="446"/>
      <c r="AN269" s="446"/>
      <c r="AO269" s="446">
        <f t="shared" si="800"/>
        <v>15400.9</v>
      </c>
      <c r="AP269" s="446">
        <f t="shared" si="800"/>
        <v>675.65000000000009</v>
      </c>
      <c r="AQ269" s="446"/>
      <c r="AR269" s="446">
        <f t="shared" si="800"/>
        <v>3759267108.3000007</v>
      </c>
      <c r="AS269" s="446">
        <f t="shared" si="800"/>
        <v>3547701519.1999998</v>
      </c>
      <c r="AT269" s="446">
        <f t="shared" si="800"/>
        <v>11675558.9</v>
      </c>
      <c r="AU269" s="446">
        <f t="shared" si="800"/>
        <v>79951474.599999994</v>
      </c>
      <c r="AV269" s="446">
        <f t="shared" si="800"/>
        <v>41068829.060000002</v>
      </c>
      <c r="AW269" s="446">
        <f>AW260+AW251+AW242+AW233+AW224+AW215+AW206+AW197+AW188+AW179+AW170+AW161+AW152+AW143+AW134+AW125+AW116+AW107+AW98+AW89+AW80+AW71+AW62+AW53+AW44+AW35+AW26+AW17+AW8</f>
        <v>92334188.439999998</v>
      </c>
      <c r="AX269" s="446">
        <f t="shared" si="800"/>
        <v>85700</v>
      </c>
      <c r="AY269" s="446">
        <f t="shared" si="800"/>
        <v>1052300</v>
      </c>
      <c r="AZ269" s="446">
        <f t="shared" si="800"/>
        <v>11761258.9</v>
      </c>
      <c r="BA269" s="446">
        <f t="shared" si="800"/>
        <v>80584139.699999988</v>
      </c>
      <c r="BB269" s="446">
        <f t="shared" si="800"/>
        <v>3640035707.6399994</v>
      </c>
      <c r="BC269" s="446">
        <f t="shared" si="800"/>
        <v>4739326491.4000006</v>
      </c>
      <c r="BD269" s="446">
        <f t="shared" si="800"/>
        <v>152181268.41</v>
      </c>
      <c r="BE269" s="446">
        <f t="shared" si="800"/>
        <v>5004810615.5</v>
      </c>
      <c r="BF269" s="455">
        <f>BF260+BF251+BF242+BF233+BF224+BF215+BF206+BF197+BF188+BF179+BF170+BF161+BF152+BF143+BF134+BF125+BF116+BF107+BF98+BF89+BF80+BF71+BF62+BF53+BF44+BF35+BF26+BF17+BF8</f>
        <v>5045686067.0699997</v>
      </c>
      <c r="BG269" s="446">
        <f t="shared" si="800"/>
        <v>-40875451.569999903</v>
      </c>
      <c r="BH269" s="455">
        <f t="shared" si="800"/>
        <v>5067053953.7300005</v>
      </c>
      <c r="BI269" s="455">
        <f t="shared" si="800"/>
        <v>21301911.040000189</v>
      </c>
    </row>
    <row r="270" spans="1:61">
      <c r="AI270">
        <v>12344232.84</v>
      </c>
      <c r="BF270">
        <v>12344232.84</v>
      </c>
    </row>
    <row r="271" spans="1:61">
      <c r="AI271" s="456">
        <f>AI270+AI269</f>
        <v>5058096275.5300007</v>
      </c>
      <c r="AJ271" s="456"/>
      <c r="AK271" s="456"/>
      <c r="BF271" s="456">
        <f>BF270+BF269</f>
        <v>5058030299.9099998</v>
      </c>
    </row>
  </sheetData>
  <mergeCells count="57">
    <mergeCell ref="BA4:BA6"/>
    <mergeCell ref="C2:O2"/>
    <mergeCell ref="P3:Q5"/>
    <mergeCell ref="P2:AG2"/>
    <mergeCell ref="H3:H6"/>
    <mergeCell ref="AG3:AG6"/>
    <mergeCell ref="AJ2:AK2"/>
    <mergeCell ref="AJ3:AJ6"/>
    <mergeCell ref="AK3:AK6"/>
    <mergeCell ref="AN3:AP4"/>
    <mergeCell ref="A2:B2"/>
    <mergeCell ref="B3:B6"/>
    <mergeCell ref="A3:A6"/>
    <mergeCell ref="AS5:AU5"/>
    <mergeCell ref="AW5:AY5"/>
    <mergeCell ref="E3:F5"/>
    <mergeCell ref="AO5:AO6"/>
    <mergeCell ref="AP5:AP6"/>
    <mergeCell ref="AC3:AC6"/>
    <mergeCell ref="AD4:AD6"/>
    <mergeCell ref="T3:T6"/>
    <mergeCell ref="AQ3:AQ6"/>
    <mergeCell ref="AE4:AE6"/>
    <mergeCell ref="AI3:AI6"/>
    <mergeCell ref="C3:D5"/>
    <mergeCell ref="BJ145:BJ147"/>
    <mergeCell ref="AL3:AM4"/>
    <mergeCell ref="AH3:AH6"/>
    <mergeCell ref="AD3:AF3"/>
    <mergeCell ref="BD3:BD6"/>
    <mergeCell ref="BI3:BI6"/>
    <mergeCell ref="BH3:BH6"/>
    <mergeCell ref="BG3:BG6"/>
    <mergeCell ref="AR4:AU4"/>
    <mergeCell ref="AR5:AR6"/>
    <mergeCell ref="AV5:AV6"/>
    <mergeCell ref="AV4:AY4"/>
    <mergeCell ref="BF3:BF6"/>
    <mergeCell ref="AZ4:AZ6"/>
    <mergeCell ref="BC3:BC6"/>
    <mergeCell ref="BE3:BE6"/>
    <mergeCell ref="BH2:BI2"/>
    <mergeCell ref="M5:O5"/>
    <mergeCell ref="L5:L6"/>
    <mergeCell ref="G3:G6"/>
    <mergeCell ref="U3:AB3"/>
    <mergeCell ref="U5:U6"/>
    <mergeCell ref="U4:X4"/>
    <mergeCell ref="Y4:AA4"/>
    <mergeCell ref="R3:S4"/>
    <mergeCell ref="I4:K4"/>
    <mergeCell ref="I3:N3"/>
    <mergeCell ref="V5:X5"/>
    <mergeCell ref="AR3:BB3"/>
    <mergeCell ref="BB4:BB6"/>
    <mergeCell ref="Z5:AB5"/>
    <mergeCell ref="AL2:BG2"/>
  </mergeCells>
  <pageMargins left="0" right="0" top="0.74803149606299213" bottom="0.74803149606299213" header="0.31496062992125984" footer="0.31496062992125984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1"/>
  <sheetViews>
    <sheetView topLeftCell="A356" workbookViewId="0">
      <selection activeCell="R376" sqref="R376"/>
    </sheetView>
  </sheetViews>
  <sheetFormatPr defaultColWidth="8.85546875" defaultRowHeight="15"/>
  <cols>
    <col min="1" max="1" width="7.42578125" style="460" customWidth="1"/>
    <col min="2" max="2" width="27.5703125" style="36" customWidth="1"/>
    <col min="3" max="3" width="20" style="511" customWidth="1"/>
    <col min="4" max="6" width="18.7109375" style="36" customWidth="1"/>
    <col min="7" max="7" width="17" style="36" hidden="1" customWidth="1"/>
    <col min="8" max="8" width="18.28515625" style="36" hidden="1" customWidth="1"/>
    <col min="9" max="9" width="15.28515625" style="462" hidden="1" customWidth="1"/>
    <col min="10" max="10" width="18.140625" style="462" hidden="1" customWidth="1"/>
    <col min="11" max="11" width="18.28515625" style="462" hidden="1" customWidth="1"/>
    <col min="12" max="12" width="8.85546875" style="36" hidden="1" customWidth="1"/>
    <col min="13" max="13" width="13.140625" style="36" hidden="1" customWidth="1"/>
    <col min="14" max="14" width="8.85546875" style="36" customWidth="1"/>
    <col min="15" max="16384" width="8.85546875" style="36"/>
  </cols>
  <sheetData>
    <row r="1" spans="1:11">
      <c r="B1" s="62"/>
      <c r="C1" s="461"/>
      <c r="D1" s="62" t="s">
        <v>101</v>
      </c>
      <c r="E1" s="62"/>
      <c r="F1" s="62"/>
      <c r="G1" s="62"/>
      <c r="H1" s="62"/>
    </row>
    <row r="2" spans="1:11" s="72" customFormat="1" ht="51.6" customHeight="1">
      <c r="A2" s="463"/>
      <c r="B2" s="1773" t="s">
        <v>664</v>
      </c>
      <c r="C2" s="1773"/>
      <c r="D2" s="1773"/>
      <c r="E2" s="1773"/>
      <c r="F2" s="1773"/>
      <c r="G2" s="1773"/>
      <c r="H2" s="523"/>
    </row>
    <row r="3" spans="1:11" s="462" customFormat="1" ht="15.75">
      <c r="B3" s="1774"/>
      <c r="C3" s="1774"/>
      <c r="D3" s="1774"/>
      <c r="E3" s="1774"/>
      <c r="F3" s="1774"/>
      <c r="G3" s="1774"/>
      <c r="H3" s="522"/>
    </row>
    <row r="4" spans="1:11" s="462" customFormat="1" ht="15.75">
      <c r="A4" s="1761"/>
      <c r="B4" s="1762" t="s">
        <v>103</v>
      </c>
      <c r="C4" s="1767" t="s">
        <v>674</v>
      </c>
      <c r="D4" s="1768"/>
      <c r="E4" s="1768"/>
      <c r="F4" s="1769"/>
      <c r="G4" s="1763" t="s">
        <v>675</v>
      </c>
      <c r="H4" s="1763"/>
    </row>
    <row r="5" spans="1:11" ht="73.900000000000006" customHeight="1">
      <c r="A5" s="1761"/>
      <c r="B5" s="1762"/>
      <c r="C5" s="37" t="s">
        <v>104</v>
      </c>
      <c r="D5" s="37" t="s">
        <v>105</v>
      </c>
      <c r="E5" s="1113" t="s">
        <v>811</v>
      </c>
      <c r="F5" s="1113" t="s">
        <v>812</v>
      </c>
      <c r="G5" s="37" t="s">
        <v>104</v>
      </c>
      <c r="H5" s="37" t="s">
        <v>105</v>
      </c>
      <c r="I5" s="36"/>
      <c r="J5" s="36"/>
      <c r="K5" s="36"/>
    </row>
    <row r="6" spans="1:11" ht="18" customHeight="1">
      <c r="A6" s="37"/>
      <c r="B6" s="1765" t="s">
        <v>102</v>
      </c>
      <c r="C6" s="1765"/>
      <c r="D6" s="1765"/>
      <c r="E6" s="1765"/>
      <c r="F6" s="1765"/>
      <c r="G6" s="1765"/>
      <c r="H6" s="37"/>
      <c r="I6" s="36"/>
      <c r="J6" s="36"/>
      <c r="K6" s="36"/>
    </row>
    <row r="7" spans="1:11" ht="16.899999999999999" hidden="1" customHeight="1">
      <c r="A7" s="37"/>
      <c r="B7" s="38" t="s">
        <v>106</v>
      </c>
      <c r="C7" s="37"/>
      <c r="D7" s="37"/>
      <c r="E7" s="37"/>
      <c r="F7" s="37"/>
      <c r="G7" s="37"/>
      <c r="H7" s="37"/>
      <c r="I7" s="36"/>
      <c r="J7" s="36"/>
      <c r="K7" s="36"/>
    </row>
    <row r="8" spans="1:11" ht="39" hidden="1" customHeight="1">
      <c r="A8" s="37">
        <v>1</v>
      </c>
      <c r="B8" s="37" t="s">
        <v>107</v>
      </c>
      <c r="C8" s="37">
        <v>778</v>
      </c>
      <c r="D8" s="1201">
        <f>40366790.69-200000</f>
        <v>40166790.689999998</v>
      </c>
      <c r="E8" s="37"/>
      <c r="F8" s="37"/>
      <c r="G8" s="37">
        <v>789</v>
      </c>
      <c r="H8" s="37">
        <v>41167409.619999997</v>
      </c>
      <c r="I8" s="36"/>
      <c r="J8" s="36"/>
      <c r="K8" s="36"/>
    </row>
    <row r="9" spans="1:11" ht="16.899999999999999" hidden="1" customHeight="1">
      <c r="A9" s="37"/>
      <c r="B9" s="37"/>
      <c r="C9" s="37"/>
      <c r="D9" s="37"/>
      <c r="E9" s="37"/>
      <c r="F9" s="37"/>
      <c r="G9" s="37"/>
      <c r="H9" s="37"/>
      <c r="I9" s="36"/>
      <c r="J9" s="36"/>
      <c r="K9" s="36"/>
    </row>
    <row r="10" spans="1:11" ht="24" hidden="1" customHeight="1">
      <c r="A10" s="37"/>
      <c r="B10" s="39" t="s">
        <v>108</v>
      </c>
      <c r="C10" s="40">
        <f>SUM(C8:C9)</f>
        <v>778</v>
      </c>
      <c r="D10" s="40">
        <f>SUM(D8:D9)</f>
        <v>40166790.689999998</v>
      </c>
      <c r="E10" s="40"/>
      <c r="F10" s="40"/>
      <c r="G10" s="40"/>
      <c r="H10" s="40">
        <f>SUM(H8:H9)</f>
        <v>41167409.619999997</v>
      </c>
      <c r="I10" s="36"/>
      <c r="J10" s="36"/>
      <c r="K10" s="36"/>
    </row>
    <row r="11" spans="1:11" ht="24" hidden="1" customHeight="1">
      <c r="A11" s="37"/>
      <c r="B11" s="38" t="s">
        <v>109</v>
      </c>
      <c r="C11" s="37"/>
      <c r="D11" s="37"/>
      <c r="E11" s="37"/>
      <c r="F11" s="37"/>
      <c r="G11" s="37"/>
      <c r="H11" s="37"/>
      <c r="I11" s="36"/>
      <c r="J11" s="36"/>
      <c r="K11" s="36"/>
    </row>
    <row r="12" spans="1:11" ht="30.75">
      <c r="A12" s="464">
        <v>1</v>
      </c>
      <c r="B12" s="37" t="s">
        <v>110</v>
      </c>
      <c r="C12" s="37">
        <v>161</v>
      </c>
      <c r="D12" s="37">
        <v>16513693</v>
      </c>
      <c r="E12" s="37">
        <f t="shared" ref="E12:E17" si="0">ROUND(D12/C12,2)</f>
        <v>102569.52</v>
      </c>
      <c r="F12" s="40">
        <f t="shared" ref="F12:F17" si="1">ROUND(E12*C12,2)</f>
        <v>16513692.720000001</v>
      </c>
      <c r="G12" s="37">
        <v>161</v>
      </c>
      <c r="H12" s="37">
        <v>16513693</v>
      </c>
      <c r="I12" s="36"/>
      <c r="J12" s="36"/>
      <c r="K12" s="36"/>
    </row>
    <row r="13" spans="1:11" ht="30.75">
      <c r="A13" s="464">
        <v>2</v>
      </c>
      <c r="B13" s="37" t="s">
        <v>111</v>
      </c>
      <c r="C13" s="37">
        <v>103</v>
      </c>
      <c r="D13" s="37">
        <v>10582713.1</v>
      </c>
      <c r="E13" s="37">
        <f t="shared" si="0"/>
        <v>102744.79</v>
      </c>
      <c r="F13" s="40">
        <f t="shared" si="1"/>
        <v>10582713.369999999</v>
      </c>
      <c r="G13" s="37">
        <v>105</v>
      </c>
      <c r="H13" s="37">
        <v>10582713.1</v>
      </c>
      <c r="I13" s="36"/>
      <c r="J13" s="36"/>
      <c r="K13" s="36"/>
    </row>
    <row r="14" spans="1:11" ht="30.75">
      <c r="A14" s="464">
        <v>3</v>
      </c>
      <c r="B14" s="37" t="s">
        <v>112</v>
      </c>
      <c r="C14" s="37">
        <v>25</v>
      </c>
      <c r="D14" s="37">
        <v>4680571.75</v>
      </c>
      <c r="E14" s="37">
        <f t="shared" si="0"/>
        <v>187222.87</v>
      </c>
      <c r="F14" s="40">
        <f t="shared" si="1"/>
        <v>4680571.75</v>
      </c>
      <c r="G14" s="37">
        <v>25</v>
      </c>
      <c r="H14" s="37">
        <v>4680571.75</v>
      </c>
      <c r="I14" s="36"/>
      <c r="J14" s="36"/>
      <c r="K14" s="36"/>
    </row>
    <row r="15" spans="1:11" ht="30.75">
      <c r="A15" s="464">
        <v>4</v>
      </c>
      <c r="B15" s="37" t="s">
        <v>665</v>
      </c>
      <c r="C15" s="37">
        <v>38</v>
      </c>
      <c r="D15" s="37">
        <v>5236601.4000000004</v>
      </c>
      <c r="E15" s="37">
        <f t="shared" si="0"/>
        <v>137805.29999999999</v>
      </c>
      <c r="F15" s="40">
        <f t="shared" si="1"/>
        <v>5236601.4000000004</v>
      </c>
      <c r="G15" s="37">
        <v>37</v>
      </c>
      <c r="H15" s="37">
        <v>5236601.4000000004</v>
      </c>
      <c r="I15" s="36"/>
      <c r="J15" s="36"/>
      <c r="K15" s="36"/>
    </row>
    <row r="16" spans="1:11" ht="30.75">
      <c r="A16" s="464">
        <v>5</v>
      </c>
      <c r="B16" s="37" t="s">
        <v>113</v>
      </c>
      <c r="C16" s="37">
        <v>77</v>
      </c>
      <c r="D16" s="37">
        <v>5667874.5899999999</v>
      </c>
      <c r="E16" s="37">
        <f t="shared" si="0"/>
        <v>73608.759999999995</v>
      </c>
      <c r="F16" s="40">
        <f t="shared" si="1"/>
        <v>5667874.5199999996</v>
      </c>
      <c r="G16" s="37">
        <v>97</v>
      </c>
      <c r="H16" s="424">
        <v>7864815.4900000002</v>
      </c>
      <c r="I16" s="36"/>
      <c r="J16" s="36"/>
      <c r="K16" s="36"/>
    </row>
    <row r="17" spans="1:13" ht="15.75">
      <c r="A17" s="464">
        <v>6</v>
      </c>
      <c r="B17" s="37" t="s">
        <v>114</v>
      </c>
      <c r="C17" s="37">
        <v>85</v>
      </c>
      <c r="D17" s="37">
        <v>8047573.8899999997</v>
      </c>
      <c r="E17" s="37">
        <f t="shared" si="0"/>
        <v>94677.34</v>
      </c>
      <c r="F17" s="40">
        <f t="shared" si="1"/>
        <v>8047573.9000000004</v>
      </c>
      <c r="G17" s="37">
        <v>102</v>
      </c>
      <c r="H17" s="424">
        <v>9913305.3000000007</v>
      </c>
      <c r="I17" s="36"/>
      <c r="J17" s="36"/>
      <c r="K17" s="36"/>
    </row>
    <row r="18" spans="1:13" ht="25.15" customHeight="1">
      <c r="A18" s="37"/>
      <c r="B18" s="37"/>
      <c r="C18" s="37"/>
      <c r="D18" s="37"/>
      <c r="E18" s="37"/>
      <c r="F18" s="37"/>
      <c r="G18" s="37"/>
      <c r="H18" s="37"/>
      <c r="I18" s="36"/>
      <c r="J18" s="36"/>
      <c r="K18" s="36"/>
    </row>
    <row r="19" spans="1:13" ht="28.15" customHeight="1">
      <c r="A19" s="41"/>
      <c r="B19" s="42" t="s">
        <v>115</v>
      </c>
      <c r="C19" s="43">
        <f>SUM(C12:C18)</f>
        <v>489</v>
      </c>
      <c r="D19" s="43">
        <f>SUM(D12:D18)</f>
        <v>50729027.730000004</v>
      </c>
      <c r="E19" s="43">
        <f>SUM(E12:E18)</f>
        <v>698628.58</v>
      </c>
      <c r="F19" s="43">
        <f>SUM(F12:F18)</f>
        <v>50729027.660000004</v>
      </c>
      <c r="G19" s="43"/>
      <c r="H19" s="43">
        <f>SUM(H12:H18)</f>
        <v>54791700.040000007</v>
      </c>
      <c r="I19" s="36"/>
      <c r="J19" s="36"/>
      <c r="K19" s="36"/>
    </row>
    <row r="20" spans="1:13" s="45" customFormat="1" ht="15.75">
      <c r="A20" s="44"/>
      <c r="B20" s="44" t="s">
        <v>116</v>
      </c>
      <c r="C20" s="44">
        <f>C19+C10</f>
        <v>1267</v>
      </c>
      <c r="D20" s="44">
        <f>D19+D10</f>
        <v>90895818.420000002</v>
      </c>
      <c r="E20" s="44">
        <f>E19+E10</f>
        <v>698628.58</v>
      </c>
      <c r="F20" s="44">
        <f>F19+F10</f>
        <v>50729027.660000004</v>
      </c>
      <c r="G20" s="44"/>
      <c r="H20" s="44">
        <f>H19+H10</f>
        <v>95959109.659999996</v>
      </c>
      <c r="J20" s="1080">
        <f>'Фонды2015-2017'!BH17</f>
        <v>91421898.900000006</v>
      </c>
      <c r="K20" s="45">
        <f>J20-D20</f>
        <v>526080.48000000417</v>
      </c>
    </row>
    <row r="21" spans="1:13" ht="25.9" customHeight="1">
      <c r="A21" s="36"/>
      <c r="B21" s="1765" t="s">
        <v>75</v>
      </c>
      <c r="C21" s="1765"/>
      <c r="D21" s="1765"/>
      <c r="E21" s="1765"/>
      <c r="F21" s="1765"/>
      <c r="G21" s="1765"/>
      <c r="I21" s="36"/>
      <c r="J21" s="36"/>
      <c r="K21" s="36"/>
    </row>
    <row r="22" spans="1:13" ht="25.15" customHeight="1">
      <c r="A22" s="37"/>
      <c r="B22" s="46" t="s">
        <v>106</v>
      </c>
      <c r="C22" s="37"/>
      <c r="D22" s="37"/>
      <c r="E22" s="37"/>
      <c r="F22" s="37"/>
      <c r="G22" s="37"/>
      <c r="H22" s="37"/>
      <c r="I22" s="36"/>
      <c r="J22" s="36"/>
      <c r="K22" s="36"/>
    </row>
    <row r="23" spans="1:13" ht="30.6" customHeight="1">
      <c r="A23" s="37">
        <v>1</v>
      </c>
      <c r="B23" s="37" t="s">
        <v>117</v>
      </c>
      <c r="C23" s="37">
        <v>516</v>
      </c>
      <c r="D23" s="37">
        <v>26909579.84</v>
      </c>
      <c r="E23" s="37"/>
      <c r="F23" s="37"/>
      <c r="G23" s="37"/>
      <c r="H23" s="37"/>
      <c r="I23" s="36"/>
      <c r="J23" s="37"/>
      <c r="K23" s="36"/>
    </row>
    <row r="24" spans="1:13" ht="19.899999999999999" customHeight="1">
      <c r="A24" s="37"/>
      <c r="B24" s="47" t="s">
        <v>108</v>
      </c>
      <c r="C24" s="48">
        <v>516</v>
      </c>
      <c r="D24" s="48">
        <v>26909579.84</v>
      </c>
      <c r="E24" s="48"/>
      <c r="F24" s="48"/>
      <c r="G24" s="48"/>
      <c r="H24" s="48">
        <f>SUM(H23:H23)</f>
        <v>0</v>
      </c>
      <c r="I24" s="36"/>
      <c r="J24" s="48"/>
      <c r="K24" s="36"/>
    </row>
    <row r="25" spans="1:13" ht="21" customHeight="1">
      <c r="A25" s="37"/>
      <c r="B25" s="46" t="s">
        <v>109</v>
      </c>
      <c r="C25" s="37"/>
      <c r="D25" s="37"/>
      <c r="E25" s="37"/>
      <c r="F25" s="37"/>
      <c r="G25" s="37"/>
      <c r="H25" s="37"/>
      <c r="I25" s="36"/>
      <c r="J25" s="37"/>
      <c r="K25" s="36"/>
    </row>
    <row r="26" spans="1:13" ht="30.75">
      <c r="A26" s="464">
        <v>1</v>
      </c>
      <c r="B26" s="37" t="s">
        <v>118</v>
      </c>
      <c r="C26" s="37">
        <v>109</v>
      </c>
      <c r="D26" s="424">
        <f>9873300+1600000-1600000+600000</f>
        <v>10473300</v>
      </c>
      <c r="E26" s="37">
        <f>ROUND(D26/C26,2)</f>
        <v>96085.32</v>
      </c>
      <c r="F26" s="40">
        <f>ROUND(E26*C26,2)</f>
        <v>10473299.880000001</v>
      </c>
      <c r="G26" s="37"/>
      <c r="H26" s="37"/>
      <c r="I26" s="36"/>
      <c r="J26" s="37"/>
      <c r="K26" s="36">
        <v>816264.7</v>
      </c>
    </row>
    <row r="27" spans="1:13" ht="30.75">
      <c r="A27" s="464">
        <v>2</v>
      </c>
      <c r="B27" s="37" t="s">
        <v>119</v>
      </c>
      <c r="C27" s="37">
        <v>62</v>
      </c>
      <c r="D27" s="424">
        <v>10303500</v>
      </c>
      <c r="E27" s="37">
        <f>ROUND(D27/C27,2)</f>
        <v>166185.48000000001</v>
      </c>
      <c r="F27" s="40">
        <f>ROUND(E27*C27,2)</f>
        <v>10303499.76</v>
      </c>
      <c r="G27" s="466"/>
      <c r="H27" s="37"/>
      <c r="I27" s="36"/>
      <c r="J27" s="37"/>
      <c r="K27" s="36">
        <f>82315.26+109753.07</f>
        <v>192068.33000000002</v>
      </c>
    </row>
    <row r="28" spans="1:13" ht="30.75">
      <c r="A28" s="464">
        <v>3</v>
      </c>
      <c r="B28" s="37" t="s">
        <v>120</v>
      </c>
      <c r="C28" s="37">
        <v>58</v>
      </c>
      <c r="D28" s="424">
        <f>8151500+1000000-1000000+408333.03</f>
        <v>8559833.0299999993</v>
      </c>
      <c r="E28" s="37">
        <f>ROUND(D28/C28,2)</f>
        <v>147583.32999999999</v>
      </c>
      <c r="F28" s="40">
        <f>ROUND(E28*C28,2)</f>
        <v>8559833.1400000006</v>
      </c>
      <c r="G28" s="466"/>
      <c r="H28" s="37"/>
      <c r="I28" s="36"/>
      <c r="J28" s="37"/>
      <c r="K28" s="1203">
        <f>K27+K26</f>
        <v>1008333.03</v>
      </c>
    </row>
    <row r="29" spans="1:13" ht="7.9" customHeight="1">
      <c r="A29" s="37"/>
      <c r="B29" s="37"/>
      <c r="C29" s="37"/>
      <c r="D29" s="37"/>
      <c r="E29" s="37"/>
      <c r="F29" s="37"/>
      <c r="G29" s="37"/>
      <c r="H29" s="37"/>
      <c r="I29" s="36"/>
      <c r="J29" s="36"/>
      <c r="K29" s="36"/>
    </row>
    <row r="30" spans="1:13" ht="21" hidden="1" customHeight="1">
      <c r="A30" s="41"/>
      <c r="B30" s="1114" t="s">
        <v>115</v>
      </c>
      <c r="C30" s="497">
        <v>229</v>
      </c>
      <c r="D30" s="497">
        <f>D28+D27+D26</f>
        <v>29336633.030000001</v>
      </c>
      <c r="E30" s="497">
        <f>E28+E27+E26</f>
        <v>409854.13</v>
      </c>
      <c r="F30" s="497">
        <f>F28+F27+F26</f>
        <v>29336632.780000001</v>
      </c>
      <c r="G30" s="497"/>
      <c r="H30" s="50">
        <f>SUM(H26:H29)</f>
        <v>0</v>
      </c>
      <c r="I30" s="36"/>
      <c r="J30" s="36"/>
      <c r="K30" s="36"/>
    </row>
    <row r="31" spans="1:13" s="51" customFormat="1" ht="15.75">
      <c r="A31" s="50"/>
      <c r="B31" s="50" t="s">
        <v>116</v>
      </c>
      <c r="C31" s="50">
        <f>C28+C27+C26</f>
        <v>229</v>
      </c>
      <c r="D31" s="50">
        <f>D28+D27+D26</f>
        <v>29336633.030000001</v>
      </c>
      <c r="E31" s="50">
        <f>E28+E27+E26</f>
        <v>409854.13</v>
      </c>
      <c r="F31" s="50">
        <f>F28+F27+F26</f>
        <v>29336632.780000001</v>
      </c>
      <c r="G31" s="50"/>
      <c r="H31" s="50">
        <f>H30+H24</f>
        <v>0</v>
      </c>
      <c r="J31" s="1081">
        <f>'Фонды2015-2017'!BH26</f>
        <v>57923499.510000005</v>
      </c>
      <c r="K31" s="51">
        <f>J31-D31</f>
        <v>28586866.480000004</v>
      </c>
      <c r="M31" s="51">
        <v>82315.259999999995</v>
      </c>
    </row>
    <row r="32" spans="1:13" ht="22.15" customHeight="1">
      <c r="B32" s="1765" t="s">
        <v>85</v>
      </c>
      <c r="C32" s="1765"/>
      <c r="D32" s="1765"/>
      <c r="E32" s="1765"/>
      <c r="F32" s="1765"/>
      <c r="G32" s="1765"/>
      <c r="I32" s="36"/>
      <c r="J32" s="36"/>
      <c r="K32" s="36"/>
    </row>
    <row r="33" spans="1:11" ht="45">
      <c r="A33" s="467"/>
      <c r="B33" s="38" t="s">
        <v>109</v>
      </c>
      <c r="C33" s="464"/>
      <c r="D33" s="37"/>
      <c r="E33" s="37"/>
      <c r="F33" s="37"/>
      <c r="G33" s="37"/>
      <c r="H33" s="37"/>
      <c r="I33" s="36"/>
      <c r="J33" s="36"/>
      <c r="K33" s="36"/>
    </row>
    <row r="34" spans="1:11" ht="18.75">
      <c r="A34" s="464">
        <v>1</v>
      </c>
      <c r="B34" s="37" t="s">
        <v>121</v>
      </c>
      <c r="C34" s="424">
        <v>453</v>
      </c>
      <c r="D34" s="424">
        <f>32285440.74</f>
        <v>32285440.739999998</v>
      </c>
      <c r="E34" s="37">
        <f>ROUND(D34/C34,2)</f>
        <v>71270.289999999994</v>
      </c>
      <c r="F34" s="40">
        <f>ROUND(E34*C34,2)</f>
        <v>32285441.370000001</v>
      </c>
      <c r="G34" s="424">
        <v>480</v>
      </c>
      <c r="H34" s="524">
        <v>34984599.369999997</v>
      </c>
      <c r="I34" s="36"/>
      <c r="J34" s="36"/>
      <c r="K34" s="36"/>
    </row>
    <row r="35" spans="1:11" ht="18.75">
      <c r="A35" s="464">
        <v>2</v>
      </c>
      <c r="B35" s="37" t="s">
        <v>122</v>
      </c>
      <c r="C35" s="424">
        <v>179</v>
      </c>
      <c r="D35" s="424">
        <f>17421093.6</f>
        <v>17421093.600000001</v>
      </c>
      <c r="E35" s="37">
        <f>ROUND(D35/C35,2)</f>
        <v>97324.55</v>
      </c>
      <c r="F35" s="40">
        <f>ROUND(E35*C35,2)</f>
        <v>17421094.449999999</v>
      </c>
      <c r="G35" s="424">
        <v>181</v>
      </c>
      <c r="H35" s="524">
        <v>17815742.690000001</v>
      </c>
      <c r="I35" s="36"/>
      <c r="J35" s="36"/>
      <c r="K35" s="36"/>
    </row>
    <row r="36" spans="1:11" ht="18.75">
      <c r="A36" s="464">
        <v>3</v>
      </c>
      <c r="B36" s="37" t="s">
        <v>123</v>
      </c>
      <c r="C36" s="424">
        <v>228</v>
      </c>
      <c r="D36" s="424">
        <f>18506641.12</f>
        <v>18506641.120000001</v>
      </c>
      <c r="E36" s="37">
        <f>ROUND(D36/C36,2)</f>
        <v>81169.48</v>
      </c>
      <c r="F36" s="40">
        <f>ROUND(E36*C36,2)</f>
        <v>18506641.440000001</v>
      </c>
      <c r="G36" s="424">
        <v>229</v>
      </c>
      <c r="H36" s="524">
        <v>18576988.510000002</v>
      </c>
      <c r="I36" s="36"/>
      <c r="J36" s="36"/>
      <c r="K36" s="36"/>
    </row>
    <row r="37" spans="1:11" ht="29.45" customHeight="1">
      <c r="A37" s="464">
        <v>4</v>
      </c>
      <c r="B37" s="37" t="s">
        <v>124</v>
      </c>
      <c r="C37" s="424">
        <v>98</v>
      </c>
      <c r="D37" s="424">
        <f>12193905.92</f>
        <v>12193905.92</v>
      </c>
      <c r="E37" s="37">
        <f>ROUND(D37/C37,2)</f>
        <v>124427.61</v>
      </c>
      <c r="F37" s="40">
        <f>ROUND(E37*C37,2)</f>
        <v>12193905.779999999</v>
      </c>
      <c r="G37" s="424">
        <v>100</v>
      </c>
      <c r="H37" s="524">
        <v>12442762.43</v>
      </c>
      <c r="I37" s="36"/>
      <c r="J37" s="36"/>
      <c r="K37" s="36"/>
    </row>
    <row r="38" spans="1:11" ht="12.6" customHeight="1">
      <c r="A38" s="468"/>
      <c r="B38" s="42" t="s">
        <v>115</v>
      </c>
      <c r="C38" s="469">
        <f>SUM(C34:C37)</f>
        <v>958</v>
      </c>
      <c r="D38" s="43">
        <f>SUM(D34:D37)</f>
        <v>80407081.38000001</v>
      </c>
      <c r="E38" s="43">
        <f>SUM(E34:E37)</f>
        <v>374191.93</v>
      </c>
      <c r="F38" s="43">
        <f>SUM(F34:F37)</f>
        <v>80407083.040000007</v>
      </c>
      <c r="G38" s="43">
        <f>G34+G35+G36+G37</f>
        <v>990</v>
      </c>
      <c r="H38" s="43">
        <f>SUM(H34:H37)</f>
        <v>83820093</v>
      </c>
      <c r="I38" s="36"/>
      <c r="J38" s="36"/>
      <c r="K38" s="36"/>
    </row>
    <row r="39" spans="1:11" s="45" customFormat="1" ht="15.75" hidden="1">
      <c r="A39" s="470"/>
      <c r="B39" s="44" t="s">
        <v>116</v>
      </c>
      <c r="C39" s="471">
        <f>C38+C32</f>
        <v>958</v>
      </c>
      <c r="D39" s="44">
        <f>D38+D32</f>
        <v>80407081.38000001</v>
      </c>
      <c r="E39" s="44">
        <f>E38+E32</f>
        <v>374191.93</v>
      </c>
      <c r="F39" s="44">
        <f>F38+F32</f>
        <v>80407083.040000007</v>
      </c>
      <c r="G39" s="44"/>
      <c r="H39" s="44">
        <f>H38+H32</f>
        <v>83820093</v>
      </c>
      <c r="J39" s="1080">
        <f>'Фонды2015-2017'!AJ35</f>
        <v>80556233.829999998</v>
      </c>
      <c r="K39" s="51">
        <f>J39-D39</f>
        <v>149152.44999998808</v>
      </c>
    </row>
    <row r="40" spans="1:11" ht="24" customHeight="1">
      <c r="A40" s="36"/>
      <c r="B40" s="1765" t="s">
        <v>86</v>
      </c>
      <c r="C40" s="1765"/>
      <c r="D40" s="1765"/>
      <c r="E40" s="1765"/>
      <c r="F40" s="1765"/>
      <c r="G40" s="1765"/>
      <c r="I40" s="36"/>
      <c r="J40" s="36"/>
      <c r="K40" s="36"/>
    </row>
    <row r="41" spans="1:11" ht="45" hidden="1">
      <c r="A41" s="37"/>
      <c r="B41" s="38" t="s">
        <v>106</v>
      </c>
      <c r="C41" s="37"/>
      <c r="D41" s="37"/>
      <c r="E41" s="37"/>
      <c r="F41" s="37"/>
      <c r="G41" s="37"/>
      <c r="H41" s="37"/>
      <c r="I41" s="36"/>
      <c r="J41" s="36"/>
      <c r="K41" s="36"/>
    </row>
    <row r="42" spans="1:11" ht="25.9" hidden="1" customHeight="1">
      <c r="A42" s="37">
        <v>1</v>
      </c>
      <c r="B42" s="37" t="s">
        <v>125</v>
      </c>
      <c r="C42" s="37"/>
      <c r="D42" s="37"/>
      <c r="E42" s="37"/>
      <c r="F42" s="37"/>
      <c r="G42" s="37"/>
      <c r="H42" s="37"/>
      <c r="I42" s="36"/>
      <c r="J42" s="36"/>
      <c r="K42" s="36"/>
    </row>
    <row r="43" spans="1:11" ht="31.5" hidden="1" customHeight="1">
      <c r="A43" s="37"/>
      <c r="B43" s="39" t="s">
        <v>108</v>
      </c>
      <c r="C43" s="40">
        <v>479</v>
      </c>
      <c r="D43" s="1180">
        <f>20261.68*1000+228000-200000</f>
        <v>20289680</v>
      </c>
      <c r="E43" s="40"/>
      <c r="F43" s="40"/>
      <c r="G43" s="40">
        <v>479</v>
      </c>
      <c r="H43" s="40">
        <v>20261.68</v>
      </c>
      <c r="I43" s="36"/>
      <c r="J43" s="1181"/>
      <c r="K43" s="36"/>
    </row>
    <row r="44" spans="1:11" ht="45" hidden="1">
      <c r="A44" s="37"/>
      <c r="B44" s="38" t="s">
        <v>109</v>
      </c>
      <c r="C44" s="37"/>
      <c r="D44" s="37"/>
      <c r="E44" s="37"/>
      <c r="F44" s="37"/>
      <c r="G44" s="37"/>
      <c r="H44" s="37"/>
      <c r="I44" s="36"/>
      <c r="J44" s="36"/>
      <c r="K44" s="36"/>
    </row>
    <row r="45" spans="1:11" ht="15.75">
      <c r="A45" s="37">
        <v>1</v>
      </c>
      <c r="B45" s="37" t="s">
        <v>126</v>
      </c>
      <c r="C45" s="37">
        <v>30</v>
      </c>
      <c r="D45" s="424">
        <f>4620.7*1000</f>
        <v>4620700</v>
      </c>
      <c r="E45" s="37">
        <f>ROUND(D45/C45,2)</f>
        <v>154023.32999999999</v>
      </c>
      <c r="F45" s="40">
        <f>ROUND(E45*C45,2)</f>
        <v>4620699.9000000004</v>
      </c>
      <c r="G45" s="37">
        <v>25</v>
      </c>
      <c r="H45" s="37">
        <v>5112.6000000000004</v>
      </c>
      <c r="I45" s="36"/>
      <c r="J45" s="36"/>
      <c r="K45" s="36"/>
    </row>
    <row r="46" spans="1:11" ht="15.75">
      <c r="A46" s="37">
        <v>2</v>
      </c>
      <c r="B46" s="37" t="s">
        <v>127</v>
      </c>
      <c r="C46" s="37">
        <v>25</v>
      </c>
      <c r="D46" s="37">
        <f>4432.49*1000</f>
        <v>4432490</v>
      </c>
      <c r="E46" s="37">
        <f>ROUND(D46/C46,2)</f>
        <v>177299.6</v>
      </c>
      <c r="F46" s="40">
        <f>ROUND(E46*C46,2)</f>
        <v>4432490</v>
      </c>
      <c r="G46" s="37">
        <v>26</v>
      </c>
      <c r="H46" s="37">
        <v>4419.79</v>
      </c>
      <c r="I46" s="36"/>
      <c r="J46" s="36"/>
      <c r="K46" s="36"/>
    </row>
    <row r="47" spans="1:11" ht="25.15" customHeight="1">
      <c r="A47" s="37">
        <v>3</v>
      </c>
      <c r="B47" s="37" t="s">
        <v>128</v>
      </c>
      <c r="C47" s="37">
        <v>21</v>
      </c>
      <c r="D47" s="37">
        <f>3312.03*1000</f>
        <v>3312030</v>
      </c>
      <c r="E47" s="37">
        <f>ROUND(D47/C47,2)</f>
        <v>157715.71</v>
      </c>
      <c r="F47" s="40">
        <f>ROUND(E47*C47,2)</f>
        <v>3312029.91</v>
      </c>
      <c r="G47" s="37">
        <v>20</v>
      </c>
      <c r="H47" s="37">
        <v>3299.33</v>
      </c>
      <c r="I47" s="36"/>
      <c r="J47" s="36"/>
      <c r="K47" s="36"/>
    </row>
    <row r="48" spans="1:11" ht="21" customHeight="1">
      <c r="A48" s="41"/>
      <c r="B48" s="42" t="s">
        <v>115</v>
      </c>
      <c r="C48" s="43">
        <f>SUM(C45:C47)</f>
        <v>76</v>
      </c>
      <c r="D48" s="43">
        <f>SUM(D45:D47)</f>
        <v>12365220</v>
      </c>
      <c r="E48" s="43">
        <f>SUM(E45:E47)</f>
        <v>489038.64</v>
      </c>
      <c r="F48" s="43">
        <f>SUM(F45:F47)</f>
        <v>12365219.810000001</v>
      </c>
      <c r="G48" s="43"/>
      <c r="H48" s="43">
        <f>SUM(H45:H47)</f>
        <v>12831.72</v>
      </c>
      <c r="I48" s="36"/>
      <c r="J48" s="36"/>
      <c r="K48" s="36"/>
    </row>
    <row r="49" spans="1:11" s="45" customFormat="1" ht="15.75" hidden="1">
      <c r="A49" s="44"/>
      <c r="B49" s="44" t="s">
        <v>116</v>
      </c>
      <c r="C49" s="44">
        <f>C48+C43</f>
        <v>555</v>
      </c>
      <c r="D49" s="44">
        <f>D48+D43</f>
        <v>32654900</v>
      </c>
      <c r="E49" s="44">
        <f>E48+E43</f>
        <v>489038.64</v>
      </c>
      <c r="F49" s="44">
        <f>F48+F43</f>
        <v>12365219.810000001</v>
      </c>
      <c r="G49" s="44"/>
      <c r="H49" s="44">
        <f>H48+H43</f>
        <v>33093.4</v>
      </c>
      <c r="J49" s="1080">
        <f>'Фонды2015-2017'!AJ44</f>
        <v>32626981.439999998</v>
      </c>
      <c r="K49" s="51">
        <f>J49-D49</f>
        <v>-27918.560000002384</v>
      </c>
    </row>
    <row r="50" spans="1:11" s="472" customFormat="1" ht="30" customHeight="1">
      <c r="B50" s="1771" t="s">
        <v>89</v>
      </c>
      <c r="C50" s="1771"/>
      <c r="D50" s="1771"/>
      <c r="E50" s="1771"/>
      <c r="F50" s="1771"/>
      <c r="G50" s="1771"/>
    </row>
    <row r="51" spans="1:11" s="476" customFormat="1" ht="45" hidden="1">
      <c r="A51" s="473"/>
      <c r="B51" s="474" t="s">
        <v>106</v>
      </c>
      <c r="C51" s="475"/>
      <c r="D51" s="473"/>
      <c r="E51" s="473"/>
      <c r="F51" s="473"/>
      <c r="G51" s="473"/>
      <c r="H51" s="473"/>
    </row>
    <row r="52" spans="1:11" s="476" customFormat="1" ht="15.75" hidden="1">
      <c r="A52" s="473">
        <v>1</v>
      </c>
      <c r="B52" s="566" t="s">
        <v>129</v>
      </c>
      <c r="C52" s="567">
        <v>217</v>
      </c>
      <c r="D52" s="473">
        <v>12684100</v>
      </c>
      <c r="E52" s="473"/>
      <c r="F52" s="473"/>
      <c r="G52" s="568">
        <v>216</v>
      </c>
      <c r="H52" s="473">
        <v>12684100</v>
      </c>
    </row>
    <row r="53" spans="1:11" s="476" customFormat="1" ht="15.75" hidden="1">
      <c r="A53" s="473">
        <v>2</v>
      </c>
      <c r="B53" s="569" t="s">
        <v>130</v>
      </c>
      <c r="C53" s="570">
        <v>451</v>
      </c>
      <c r="D53" s="473">
        <v>20613600</v>
      </c>
      <c r="E53" s="473"/>
      <c r="F53" s="473"/>
      <c r="G53" s="568">
        <v>465</v>
      </c>
      <c r="H53" s="473">
        <v>20613600</v>
      </c>
    </row>
    <row r="54" spans="1:11" s="476" customFormat="1" ht="31.9" hidden="1" customHeight="1">
      <c r="A54" s="473">
        <v>3</v>
      </c>
      <c r="B54" s="571" t="s">
        <v>131</v>
      </c>
      <c r="C54" s="570">
        <v>322</v>
      </c>
      <c r="D54" s="473">
        <v>23614100</v>
      </c>
      <c r="E54" s="473"/>
      <c r="F54" s="473"/>
      <c r="G54" s="568">
        <v>321</v>
      </c>
      <c r="H54" s="473">
        <v>23614100</v>
      </c>
    </row>
    <row r="55" spans="1:11" s="476" customFormat="1" ht="33" hidden="1" customHeight="1">
      <c r="A55" s="473"/>
      <c r="B55" s="477" t="s">
        <v>108</v>
      </c>
      <c r="C55" s="478">
        <f>SUM(C52:C54)</f>
        <v>990</v>
      </c>
      <c r="D55" s="1089">
        <f>SUM(D52:D54)-330416</f>
        <v>56581384</v>
      </c>
      <c r="E55" s="1089"/>
      <c r="F55" s="1089"/>
      <c r="G55" s="479">
        <f>SUM(G52:G54)</f>
        <v>1002</v>
      </c>
      <c r="H55" s="479">
        <f>SUM(H52:H54)</f>
        <v>56911800</v>
      </c>
    </row>
    <row r="56" spans="1:11" s="476" customFormat="1" ht="45">
      <c r="A56" s="473"/>
      <c r="B56" s="474" t="s">
        <v>109</v>
      </c>
      <c r="C56" s="475"/>
      <c r="D56" s="473"/>
      <c r="E56" s="473"/>
      <c r="F56" s="473"/>
      <c r="G56" s="473"/>
      <c r="H56" s="473"/>
    </row>
    <row r="57" spans="1:11" s="476" customFormat="1" ht="15.75">
      <c r="A57" s="475">
        <v>1</v>
      </c>
      <c r="B57" s="572" t="s">
        <v>132</v>
      </c>
      <c r="C57" s="570">
        <v>311</v>
      </c>
      <c r="D57" s="473">
        <v>23572039.41</v>
      </c>
      <c r="E57" s="37">
        <f t="shared" ref="E57:E62" si="2">ROUND(D57/C57,2)</f>
        <v>75794.34</v>
      </c>
      <c r="F57" s="40">
        <f t="shared" ref="F57:F62" si="3">ROUND(E57*C57,2)</f>
        <v>23572039.739999998</v>
      </c>
      <c r="G57" s="573">
        <v>305</v>
      </c>
      <c r="H57" s="473">
        <v>23572039.41</v>
      </c>
    </row>
    <row r="58" spans="1:11" s="476" customFormat="1" ht="30.75">
      <c r="A58" s="475">
        <v>2</v>
      </c>
      <c r="B58" s="574" t="s">
        <v>133</v>
      </c>
      <c r="C58" s="570">
        <v>221</v>
      </c>
      <c r="D58" s="473">
        <v>19566497</v>
      </c>
      <c r="E58" s="37">
        <f t="shared" si="2"/>
        <v>88536.19</v>
      </c>
      <c r="F58" s="40">
        <f t="shared" si="3"/>
        <v>19566497.989999998</v>
      </c>
      <c r="G58" s="573">
        <v>216</v>
      </c>
      <c r="H58" s="473">
        <v>19566497</v>
      </c>
    </row>
    <row r="59" spans="1:11" s="476" customFormat="1" ht="15.75">
      <c r="A59" s="475">
        <v>3</v>
      </c>
      <c r="B59" s="575" t="s">
        <v>134</v>
      </c>
      <c r="C59" s="570">
        <v>290</v>
      </c>
      <c r="D59" s="473">
        <v>19317535</v>
      </c>
      <c r="E59" s="37">
        <f t="shared" si="2"/>
        <v>66612.19</v>
      </c>
      <c r="F59" s="40">
        <f t="shared" si="3"/>
        <v>19317535.100000001</v>
      </c>
      <c r="G59" s="573">
        <v>291</v>
      </c>
      <c r="H59" s="473">
        <v>19317535</v>
      </c>
    </row>
    <row r="60" spans="1:11" s="476" customFormat="1" ht="15.75">
      <c r="A60" s="475">
        <v>4</v>
      </c>
      <c r="B60" s="575" t="s">
        <v>135</v>
      </c>
      <c r="C60" s="1200">
        <v>140</v>
      </c>
      <c r="D60" s="1204">
        <f>16430179.4-1.4</f>
        <v>16430178</v>
      </c>
      <c r="E60" s="37">
        <f t="shared" si="2"/>
        <v>117358.41</v>
      </c>
      <c r="F60" s="40">
        <f t="shared" si="3"/>
        <v>16430177.4</v>
      </c>
      <c r="G60" s="573">
        <v>138</v>
      </c>
      <c r="H60" s="473">
        <v>16430179.4</v>
      </c>
    </row>
    <row r="61" spans="1:11" s="476" customFormat="1" ht="15.75">
      <c r="A61" s="475">
        <v>5</v>
      </c>
      <c r="B61" s="575" t="s">
        <v>136</v>
      </c>
      <c r="C61" s="570">
        <v>129</v>
      </c>
      <c r="D61" s="473">
        <v>12638600</v>
      </c>
      <c r="E61" s="37">
        <f t="shared" si="2"/>
        <v>97973.64</v>
      </c>
      <c r="F61" s="40">
        <f t="shared" si="3"/>
        <v>12638599.560000001</v>
      </c>
      <c r="G61" s="573">
        <v>122</v>
      </c>
      <c r="H61" s="473">
        <v>12638600</v>
      </c>
    </row>
    <row r="62" spans="1:11" s="476" customFormat="1" ht="28.9" customHeight="1">
      <c r="A62" s="475">
        <v>6</v>
      </c>
      <c r="B62" s="576" t="s">
        <v>137</v>
      </c>
      <c r="C62" s="577">
        <v>92</v>
      </c>
      <c r="D62" s="473">
        <v>6701730</v>
      </c>
      <c r="E62" s="37">
        <f t="shared" si="2"/>
        <v>72844.89</v>
      </c>
      <c r="F62" s="40">
        <f t="shared" si="3"/>
        <v>6701729.8799999999</v>
      </c>
      <c r="G62" s="573">
        <v>91</v>
      </c>
      <c r="H62" s="473">
        <v>6701730</v>
      </c>
    </row>
    <row r="63" spans="1:11" s="476" customFormat="1" ht="25.15" customHeight="1">
      <c r="A63" s="480"/>
      <c r="B63" s="481" t="s">
        <v>115</v>
      </c>
      <c r="C63" s="482">
        <f t="shared" ref="C63:H63" si="4">SUM(C57:C62)</f>
        <v>1183</v>
      </c>
      <c r="D63" s="482">
        <f t="shared" si="4"/>
        <v>98226579.409999996</v>
      </c>
      <c r="E63" s="482">
        <f t="shared" si="4"/>
        <v>519119.66000000003</v>
      </c>
      <c r="F63" s="482">
        <f t="shared" si="4"/>
        <v>98226579.670000002</v>
      </c>
      <c r="G63" s="482">
        <f t="shared" si="4"/>
        <v>1163</v>
      </c>
      <c r="H63" s="482">
        <f t="shared" si="4"/>
        <v>98226580.810000002</v>
      </c>
    </row>
    <row r="64" spans="1:11" s="484" customFormat="1" ht="15.75" hidden="1">
      <c r="A64" s="483"/>
      <c r="B64" s="483" t="s">
        <v>116</v>
      </c>
      <c r="C64" s="483">
        <f t="shared" ref="C64:H64" si="5">C63+C55</f>
        <v>2173</v>
      </c>
      <c r="D64" s="483">
        <f t="shared" si="5"/>
        <v>154807963.41</v>
      </c>
      <c r="E64" s="483">
        <f t="shared" si="5"/>
        <v>519119.66000000003</v>
      </c>
      <c r="F64" s="483">
        <f t="shared" si="5"/>
        <v>98226579.670000002</v>
      </c>
      <c r="G64" s="483">
        <f t="shared" si="5"/>
        <v>2165</v>
      </c>
      <c r="H64" s="483">
        <f t="shared" si="5"/>
        <v>155138380.81</v>
      </c>
      <c r="J64" s="1080">
        <f>'Фонды2015-2017'!AJ53</f>
        <v>154807964.51000002</v>
      </c>
      <c r="K64" s="51">
        <f>J64-D64</f>
        <v>1.1000000238418579</v>
      </c>
    </row>
    <row r="65" spans="1:11" s="485" customFormat="1" ht="25.9" customHeight="1">
      <c r="B65" s="1772" t="s">
        <v>90</v>
      </c>
      <c r="C65" s="1772"/>
      <c r="D65" s="1772"/>
      <c r="E65" s="1772"/>
      <c r="F65" s="1772"/>
      <c r="G65" s="1772"/>
    </row>
    <row r="66" spans="1:11" s="485" customFormat="1" ht="57" hidden="1" customHeight="1">
      <c r="A66" s="486"/>
      <c r="B66" s="46" t="s">
        <v>106</v>
      </c>
      <c r="C66" s="486"/>
      <c r="D66" s="486"/>
      <c r="E66" s="486"/>
      <c r="F66" s="486"/>
      <c r="G66" s="486"/>
      <c r="H66" s="486"/>
    </row>
    <row r="67" spans="1:11" s="485" customFormat="1" ht="18.75" hidden="1" customHeight="1">
      <c r="A67" s="486">
        <v>1</v>
      </c>
      <c r="B67" s="486" t="s">
        <v>138</v>
      </c>
      <c r="C67" s="487">
        <v>670</v>
      </c>
      <c r="D67" s="486">
        <v>24058434.52</v>
      </c>
      <c r="E67" s="486"/>
      <c r="F67" s="486"/>
      <c r="G67" s="486">
        <v>691</v>
      </c>
      <c r="H67" s="486">
        <f>D67</f>
        <v>24058434.52</v>
      </c>
    </row>
    <row r="68" spans="1:11" s="485" customFormat="1" ht="18.75" hidden="1" customHeight="1">
      <c r="A68" s="486">
        <v>2</v>
      </c>
      <c r="B68" s="486" t="s">
        <v>139</v>
      </c>
      <c r="C68" s="487">
        <v>707</v>
      </c>
      <c r="D68" s="1102">
        <v>34893098.950000003</v>
      </c>
      <c r="E68" s="1102"/>
      <c r="F68" s="1102"/>
      <c r="G68" s="486">
        <v>758</v>
      </c>
      <c r="H68" s="486">
        <f>[12]Численность2017!AV42</f>
        <v>35192700</v>
      </c>
      <c r="J68" s="1103"/>
    </row>
    <row r="69" spans="1:11" s="485" customFormat="1" ht="25.5" hidden="1" customHeight="1">
      <c r="A69" s="486">
        <v>3</v>
      </c>
      <c r="B69" s="486" t="s">
        <v>140</v>
      </c>
      <c r="C69" s="487">
        <v>472</v>
      </c>
      <c r="D69" s="486">
        <v>24954600</v>
      </c>
      <c r="E69" s="486"/>
      <c r="F69" s="486"/>
      <c r="G69" s="486">
        <v>481</v>
      </c>
      <c r="H69" s="486">
        <f>[12]Численность2017!AV46</f>
        <v>24954600</v>
      </c>
    </row>
    <row r="70" spans="1:11" s="485" customFormat="1" ht="31.9" hidden="1" customHeight="1">
      <c r="A70" s="486"/>
      <c r="B70" s="47" t="s">
        <v>108</v>
      </c>
      <c r="C70" s="488">
        <f>SUM(C67:C69)</f>
        <v>1849</v>
      </c>
      <c r="D70" s="48">
        <f>SUM(D67:D69)</f>
        <v>83906133.469999999</v>
      </c>
      <c r="E70" s="48"/>
      <c r="F70" s="48"/>
      <c r="G70" s="488">
        <f>SUM(G67:G69)</f>
        <v>1930</v>
      </c>
      <c r="H70" s="48">
        <f>SUM(H67:H69)</f>
        <v>84205734.519999996</v>
      </c>
    </row>
    <row r="71" spans="1:11" s="485" customFormat="1" ht="28.15" customHeight="1">
      <c r="A71" s="486"/>
      <c r="B71" s="46" t="s">
        <v>109</v>
      </c>
      <c r="C71" s="487"/>
      <c r="D71" s="486"/>
      <c r="E71" s="486"/>
      <c r="F71" s="486"/>
      <c r="G71" s="486"/>
      <c r="H71" s="486"/>
    </row>
    <row r="72" spans="1:11" s="485" customFormat="1" ht="15.75">
      <c r="A72" s="487">
        <v>1</v>
      </c>
      <c r="B72" s="486" t="s">
        <v>141</v>
      </c>
      <c r="C72" s="487">
        <v>198</v>
      </c>
      <c r="D72" s="37">
        <v>15700350</v>
      </c>
      <c r="E72" s="37">
        <f>ROUND(D72/C72,2)</f>
        <v>79294.7</v>
      </c>
      <c r="F72" s="40">
        <f>ROUND(E72*C72,2)</f>
        <v>15700350.6</v>
      </c>
      <c r="G72" s="37">
        <v>197</v>
      </c>
      <c r="H72" s="486">
        <f>D72</f>
        <v>15700350</v>
      </c>
    </row>
    <row r="73" spans="1:11" s="485" customFormat="1" ht="15.75">
      <c r="A73" s="487">
        <v>2</v>
      </c>
      <c r="B73" s="486" t="s">
        <v>142</v>
      </c>
      <c r="C73" s="487">
        <v>308</v>
      </c>
      <c r="D73" s="37">
        <v>18175420.66</v>
      </c>
      <c r="E73" s="37">
        <f>ROUND(D73/C73,2)</f>
        <v>59011.11</v>
      </c>
      <c r="F73" s="40">
        <f>ROUND(E73*C73,2)</f>
        <v>18175421.879999999</v>
      </c>
      <c r="G73" s="37">
        <v>298</v>
      </c>
      <c r="H73" s="486">
        <f>D73</f>
        <v>18175420.66</v>
      </c>
    </row>
    <row r="74" spans="1:11" s="485" customFormat="1" ht="15.75">
      <c r="A74" s="487">
        <v>3</v>
      </c>
      <c r="B74" s="486" t="s">
        <v>143</v>
      </c>
      <c r="C74" s="487">
        <v>19</v>
      </c>
      <c r="D74" s="37">
        <v>4600073.4800000004</v>
      </c>
      <c r="E74" s="37">
        <f>ROUND(D74/C74,2)</f>
        <v>242109.13</v>
      </c>
      <c r="F74" s="40">
        <f>ROUND(E74*C74,2)</f>
        <v>4600073.47</v>
      </c>
      <c r="G74" s="37">
        <v>20</v>
      </c>
      <c r="H74" s="486">
        <f>D74</f>
        <v>4600073.4800000004</v>
      </c>
    </row>
    <row r="75" spans="1:11" s="485" customFormat="1" ht="15.75">
      <c r="A75" s="487">
        <v>4</v>
      </c>
      <c r="B75" s="486" t="s">
        <v>144</v>
      </c>
      <c r="C75" s="487">
        <v>94</v>
      </c>
      <c r="D75" s="37">
        <v>7912487.6900000004</v>
      </c>
      <c r="E75" s="37">
        <f>ROUND(D75/C75,2)</f>
        <v>84175.4</v>
      </c>
      <c r="F75" s="40">
        <f>ROUND(E75*C75,2)</f>
        <v>7912487.5999999996</v>
      </c>
      <c r="G75" s="37">
        <v>96</v>
      </c>
      <c r="H75" s="486">
        <f>D75</f>
        <v>7912487.6900000004</v>
      </c>
    </row>
    <row r="76" spans="1:11" s="485" customFormat="1" ht="20.25" customHeight="1">
      <c r="A76" s="487">
        <v>5</v>
      </c>
      <c r="B76" s="486" t="s">
        <v>145</v>
      </c>
      <c r="C76" s="487">
        <v>30</v>
      </c>
      <c r="D76" s="37">
        <v>5944640</v>
      </c>
      <c r="E76" s="37">
        <f>ROUND(D76/C76,2)</f>
        <v>198154.67</v>
      </c>
      <c r="F76" s="40">
        <f>ROUND(E76*C76,2)</f>
        <v>5944640.0999999996</v>
      </c>
      <c r="G76" s="37">
        <v>25</v>
      </c>
      <c r="H76" s="486">
        <f>D76</f>
        <v>5944640</v>
      </c>
    </row>
    <row r="77" spans="1:11" s="485" customFormat="1" ht="24" customHeight="1">
      <c r="A77" s="490"/>
      <c r="B77" s="491" t="s">
        <v>115</v>
      </c>
      <c r="C77" s="492">
        <f t="shared" ref="C77:H77" si="6">SUM(C72:C76)</f>
        <v>649</v>
      </c>
      <c r="D77" s="493">
        <f t="shared" si="6"/>
        <v>52332971.829999998</v>
      </c>
      <c r="E77" s="493">
        <f t="shared" si="6"/>
        <v>662745.01</v>
      </c>
      <c r="F77" s="493">
        <f t="shared" si="6"/>
        <v>52332973.649999999</v>
      </c>
      <c r="G77" s="493">
        <f t="shared" si="6"/>
        <v>636</v>
      </c>
      <c r="H77" s="493">
        <f t="shared" si="6"/>
        <v>52332971.829999998</v>
      </c>
    </row>
    <row r="78" spans="1:11" s="51" customFormat="1" ht="15.75" hidden="1">
      <c r="A78" s="50"/>
      <c r="B78" s="50" t="s">
        <v>116</v>
      </c>
      <c r="C78" s="494">
        <f t="shared" ref="C78:H78" si="7">C77+C70</f>
        <v>2498</v>
      </c>
      <c r="D78" s="495">
        <f t="shared" si="7"/>
        <v>136239105.30000001</v>
      </c>
      <c r="E78" s="495">
        <f t="shared" si="7"/>
        <v>662745.01</v>
      </c>
      <c r="F78" s="495">
        <f t="shared" si="7"/>
        <v>52332973.649999999</v>
      </c>
      <c r="G78" s="495">
        <f t="shared" si="7"/>
        <v>2566</v>
      </c>
      <c r="H78" s="495">
        <f t="shared" si="7"/>
        <v>136538706.34999999</v>
      </c>
      <c r="J78" s="1080">
        <f>'Фонды2015-2017'!AJ62</f>
        <v>136264347.64000002</v>
      </c>
      <c r="K78" s="51">
        <f>J78-D78</f>
        <v>25242.340000003576</v>
      </c>
    </row>
    <row r="79" spans="1:11" ht="26.45" customHeight="1">
      <c r="A79" s="36"/>
      <c r="B79" s="1765" t="s">
        <v>92</v>
      </c>
      <c r="C79" s="1765"/>
      <c r="D79" s="1765"/>
      <c r="E79" s="1765"/>
      <c r="F79" s="1765"/>
      <c r="G79" s="1765"/>
      <c r="I79" s="36"/>
      <c r="J79" s="36"/>
      <c r="K79" s="36"/>
    </row>
    <row r="80" spans="1:11" ht="45" hidden="1">
      <c r="A80" s="37"/>
      <c r="B80" s="38" t="s">
        <v>106</v>
      </c>
      <c r="C80" s="37"/>
      <c r="D80" s="37"/>
      <c r="E80" s="37"/>
      <c r="F80" s="37"/>
      <c r="G80" s="37"/>
      <c r="H80" s="37"/>
      <c r="I80" s="36"/>
      <c r="J80" s="36"/>
      <c r="K80" s="36"/>
    </row>
    <row r="81" spans="1:11" ht="31.5" hidden="1">
      <c r="A81" s="37">
        <v>1</v>
      </c>
      <c r="B81" s="55" t="s">
        <v>146</v>
      </c>
      <c r="C81" s="56">
        <v>527</v>
      </c>
      <c r="D81" s="37">
        <v>19054086.32</v>
      </c>
      <c r="E81" s="37"/>
      <c r="F81" s="37"/>
      <c r="G81" s="37">
        <v>527</v>
      </c>
      <c r="H81" s="37">
        <v>19496449</v>
      </c>
      <c r="I81" s="36"/>
      <c r="J81" s="36"/>
      <c r="K81" s="36"/>
    </row>
    <row r="82" spans="1:11" ht="47.25" hidden="1">
      <c r="A82" s="37">
        <v>2</v>
      </c>
      <c r="B82" s="55" t="s">
        <v>147</v>
      </c>
      <c r="C82" s="56">
        <v>526</v>
      </c>
      <c r="D82" s="37">
        <v>19901501.620000001</v>
      </c>
      <c r="E82" s="37"/>
      <c r="F82" s="37"/>
      <c r="G82" s="37">
        <v>528</v>
      </c>
      <c r="H82" s="37">
        <v>19981502</v>
      </c>
      <c r="I82" s="36"/>
      <c r="J82" s="36"/>
      <c r="K82" s="36"/>
    </row>
    <row r="83" spans="1:11" ht="24" hidden="1" customHeight="1">
      <c r="A83" s="37">
        <v>3</v>
      </c>
      <c r="B83" s="55" t="s">
        <v>148</v>
      </c>
      <c r="C83" s="56">
        <v>247</v>
      </c>
      <c r="D83" s="79">
        <v>14279481.74</v>
      </c>
      <c r="E83" s="79"/>
      <c r="F83" s="79"/>
      <c r="G83" s="37">
        <v>247</v>
      </c>
      <c r="H83" s="37">
        <v>14638024.199999999</v>
      </c>
      <c r="I83" s="36"/>
      <c r="J83" s="1104" t="s">
        <v>807</v>
      </c>
      <c r="K83" s="36"/>
    </row>
    <row r="84" spans="1:11" ht="24" hidden="1" customHeight="1">
      <c r="A84" s="37"/>
      <c r="B84" s="39" t="s">
        <v>108</v>
      </c>
      <c r="C84" s="57">
        <f>SUM(C81:C83)</f>
        <v>1300</v>
      </c>
      <c r="D84" s="40">
        <f>SUM(D81:D83)</f>
        <v>53235069.68</v>
      </c>
      <c r="E84" s="40"/>
      <c r="F84" s="40"/>
      <c r="G84" s="40">
        <f>SUM(G81:G83)</f>
        <v>1302</v>
      </c>
      <c r="H84" s="40">
        <f>SUM(H81:H83)</f>
        <v>54115975.200000003</v>
      </c>
      <c r="I84" s="36"/>
      <c r="J84" s="36"/>
      <c r="K84" s="36"/>
    </row>
    <row r="85" spans="1:11" ht="24" customHeight="1">
      <c r="A85" s="37"/>
      <c r="B85" s="38" t="s">
        <v>109</v>
      </c>
      <c r="C85" s="58"/>
      <c r="D85" s="37"/>
      <c r="E85" s="37"/>
      <c r="F85" s="37"/>
      <c r="G85" s="37"/>
      <c r="H85" s="37"/>
      <c r="I85" s="36"/>
      <c r="J85" s="36"/>
      <c r="K85" s="36"/>
    </row>
    <row r="86" spans="1:11" ht="24" customHeight="1">
      <c r="A86" s="464">
        <v>1</v>
      </c>
      <c r="B86" s="59" t="s">
        <v>149</v>
      </c>
      <c r="C86" s="58">
        <v>26</v>
      </c>
      <c r="D86" s="37">
        <v>5011200</v>
      </c>
      <c r="E86" s="37">
        <f t="shared" ref="E86:E91" si="8">ROUND(D86/C86,2)</f>
        <v>192738.46</v>
      </c>
      <c r="F86" s="40">
        <f t="shared" ref="F86:F91" si="9">ROUND(E86*C86,2)</f>
        <v>5011199.96</v>
      </c>
      <c r="G86" s="68">
        <v>33</v>
      </c>
      <c r="H86" s="37">
        <v>6622942.0999999996</v>
      </c>
      <c r="I86" s="36"/>
      <c r="J86" s="36"/>
      <c r="K86" s="36"/>
    </row>
    <row r="87" spans="1:11" ht="24" customHeight="1">
      <c r="A87" s="464">
        <v>2</v>
      </c>
      <c r="B87" s="59" t="s">
        <v>150</v>
      </c>
      <c r="C87" s="58">
        <v>80</v>
      </c>
      <c r="D87" s="37">
        <v>9697640</v>
      </c>
      <c r="E87" s="37">
        <f t="shared" si="8"/>
        <v>121220.5</v>
      </c>
      <c r="F87" s="40">
        <f t="shared" si="9"/>
        <v>9697640</v>
      </c>
      <c r="G87" s="68">
        <v>94</v>
      </c>
      <c r="H87" s="37">
        <v>11646971.6</v>
      </c>
      <c r="I87" s="36"/>
      <c r="J87" s="36"/>
      <c r="K87" s="36"/>
    </row>
    <row r="88" spans="1:11" ht="24" customHeight="1">
      <c r="A88" s="464">
        <v>3</v>
      </c>
      <c r="B88" s="59" t="s">
        <v>151</v>
      </c>
      <c r="C88" s="58">
        <v>58</v>
      </c>
      <c r="D88" s="37">
        <v>10324020</v>
      </c>
      <c r="E88" s="37">
        <f t="shared" si="8"/>
        <v>178000.34</v>
      </c>
      <c r="F88" s="40">
        <f t="shared" si="9"/>
        <v>10324019.720000001</v>
      </c>
      <c r="G88" s="68">
        <v>83</v>
      </c>
      <c r="H88" s="37">
        <v>13227093</v>
      </c>
      <c r="I88" s="36"/>
      <c r="J88" s="36"/>
      <c r="K88" s="36"/>
    </row>
    <row r="89" spans="1:11" ht="31.5">
      <c r="A89" s="464">
        <v>4</v>
      </c>
      <c r="B89" s="59" t="s">
        <v>152</v>
      </c>
      <c r="C89" s="58">
        <v>173</v>
      </c>
      <c r="D89" s="37">
        <v>17033770</v>
      </c>
      <c r="E89" s="37">
        <f t="shared" si="8"/>
        <v>98461.1</v>
      </c>
      <c r="F89" s="40">
        <f t="shared" si="9"/>
        <v>17033770.300000001</v>
      </c>
      <c r="G89" s="68">
        <v>173</v>
      </c>
      <c r="H89" s="37">
        <v>17458559.199999999</v>
      </c>
      <c r="I89" s="36"/>
      <c r="J89" s="36"/>
      <c r="K89" s="36"/>
    </row>
    <row r="90" spans="1:11" ht="15.75">
      <c r="A90" s="464">
        <v>5</v>
      </c>
      <c r="B90" s="59" t="s">
        <v>153</v>
      </c>
      <c r="C90" s="58">
        <v>71</v>
      </c>
      <c r="D90" s="37">
        <v>8841963.1600000001</v>
      </c>
      <c r="E90" s="37">
        <f t="shared" si="8"/>
        <v>124534.69</v>
      </c>
      <c r="F90" s="40">
        <f t="shared" si="9"/>
        <v>8841962.9900000002</v>
      </c>
      <c r="G90" s="68">
        <v>80</v>
      </c>
      <c r="H90" s="37">
        <v>10502248.1</v>
      </c>
      <c r="I90" s="36"/>
      <c r="J90" s="36"/>
      <c r="K90" s="36"/>
    </row>
    <row r="91" spans="1:11" ht="19.149999999999999" customHeight="1">
      <c r="A91" s="464">
        <v>6</v>
      </c>
      <c r="B91" s="59" t="s">
        <v>154</v>
      </c>
      <c r="C91" s="58">
        <v>56</v>
      </c>
      <c r="D91" s="37">
        <v>6572900</v>
      </c>
      <c r="E91" s="37">
        <f t="shared" si="8"/>
        <v>117373.21</v>
      </c>
      <c r="F91" s="40">
        <f t="shared" si="9"/>
        <v>6572899.7599999998</v>
      </c>
      <c r="G91" s="37">
        <v>52</v>
      </c>
      <c r="H91" s="37">
        <v>6677697.7000000002</v>
      </c>
      <c r="I91" s="36"/>
      <c r="J91" s="36"/>
      <c r="K91" s="36"/>
    </row>
    <row r="92" spans="1:11" ht="19.149999999999999" customHeight="1">
      <c r="A92" s="41"/>
      <c r="B92" s="42" t="s">
        <v>115</v>
      </c>
      <c r="C92" s="60">
        <f t="shared" ref="C92:H92" si="10">SUM(C86:C91)</f>
        <v>464</v>
      </c>
      <c r="D92" s="43">
        <f t="shared" si="10"/>
        <v>57481493.159999996</v>
      </c>
      <c r="E92" s="43">
        <f t="shared" si="10"/>
        <v>832328.29999999981</v>
      </c>
      <c r="F92" s="43">
        <f t="shared" si="10"/>
        <v>57481492.730000004</v>
      </c>
      <c r="G92" s="43">
        <f t="shared" si="10"/>
        <v>515</v>
      </c>
      <c r="H92" s="43">
        <f t="shared" si="10"/>
        <v>66135511.700000003</v>
      </c>
      <c r="I92" s="36"/>
      <c r="J92" s="36"/>
      <c r="K92" s="36"/>
    </row>
    <row r="93" spans="1:11" s="45" customFormat="1" ht="19.149999999999999" hidden="1" customHeight="1">
      <c r="A93" s="44"/>
      <c r="B93" s="44" t="s">
        <v>116</v>
      </c>
      <c r="C93" s="61">
        <f t="shared" ref="C93:H93" si="11">C92+C84</f>
        <v>1764</v>
      </c>
      <c r="D93" s="44">
        <f t="shared" si="11"/>
        <v>110716562.84</v>
      </c>
      <c r="E93" s="44">
        <f t="shared" si="11"/>
        <v>832328.29999999981</v>
      </c>
      <c r="F93" s="44">
        <f t="shared" si="11"/>
        <v>57481492.730000004</v>
      </c>
      <c r="G93" s="44">
        <f t="shared" si="11"/>
        <v>1817</v>
      </c>
      <c r="H93" s="44">
        <f t="shared" si="11"/>
        <v>120251486.90000001</v>
      </c>
      <c r="J93" s="1080">
        <f>'Фонды2015-2017'!AJ71</f>
        <v>110716562.84</v>
      </c>
      <c r="K93" s="51">
        <f>J93-D93</f>
        <v>0</v>
      </c>
    </row>
    <row r="94" spans="1:11" s="485" customFormat="1" ht="27.6" customHeight="1">
      <c r="B94" s="1772" t="s">
        <v>94</v>
      </c>
      <c r="C94" s="1772"/>
      <c r="D94" s="1772"/>
      <c r="E94" s="1772"/>
      <c r="F94" s="1772"/>
      <c r="G94" s="1772"/>
      <c r="H94" s="486"/>
    </row>
    <row r="95" spans="1:11" s="485" customFormat="1" ht="21.6" hidden="1" customHeight="1">
      <c r="A95" s="486"/>
      <c r="B95" s="46" t="s">
        <v>106</v>
      </c>
      <c r="C95" s="486"/>
      <c r="D95" s="486"/>
      <c r="E95" s="486"/>
      <c r="F95" s="486"/>
      <c r="G95" s="486"/>
      <c r="H95" s="486"/>
    </row>
    <row r="96" spans="1:11" s="485" customFormat="1" ht="25.9" hidden="1" customHeight="1">
      <c r="A96" s="486">
        <v>1</v>
      </c>
      <c r="B96" s="486" t="s">
        <v>155</v>
      </c>
      <c r="C96" s="486">
        <v>558</v>
      </c>
      <c r="D96" s="496">
        <v>31886724</v>
      </c>
      <c r="E96" s="496"/>
      <c r="F96" s="496"/>
      <c r="G96" s="486">
        <v>552</v>
      </c>
      <c r="H96" s="496">
        <v>31543856</v>
      </c>
    </row>
    <row r="97" spans="1:12" s="485" customFormat="1" ht="26.45" hidden="1" customHeight="1">
      <c r="A97" s="486"/>
      <c r="B97" s="47" t="s">
        <v>108</v>
      </c>
      <c r="C97" s="48">
        <f>SUM(C96:C96)</f>
        <v>558</v>
      </c>
      <c r="D97" s="48">
        <f>SUM(D96:D96)</f>
        <v>31886724</v>
      </c>
      <c r="E97" s="48"/>
      <c r="F97" s="48"/>
      <c r="G97" s="48">
        <v>552</v>
      </c>
      <c r="H97" s="48">
        <f>SUM(H96:H96)</f>
        <v>31543856</v>
      </c>
    </row>
    <row r="98" spans="1:12" s="485" customFormat="1" ht="21.6" hidden="1" customHeight="1">
      <c r="A98" s="486"/>
      <c r="B98" s="46" t="s">
        <v>109</v>
      </c>
      <c r="C98" s="486"/>
      <c r="D98" s="486"/>
      <c r="E98" s="486"/>
      <c r="F98" s="486"/>
      <c r="G98" s="486"/>
      <c r="H98" s="486"/>
    </row>
    <row r="99" spans="1:12" s="485" customFormat="1" ht="15.75">
      <c r="A99" s="487">
        <v>1</v>
      </c>
      <c r="B99" s="486" t="s">
        <v>156</v>
      </c>
      <c r="C99" s="486">
        <v>152</v>
      </c>
      <c r="D99" s="486">
        <v>13499591.75</v>
      </c>
      <c r="E99" s="37">
        <f t="shared" ref="E99:E106" si="12">ROUND(D99/C99,2)</f>
        <v>88813.1</v>
      </c>
      <c r="F99" s="40">
        <f t="shared" ref="F99:F106" si="13">ROUND(E99*C99,2)</f>
        <v>13499591.199999999</v>
      </c>
      <c r="G99" s="486">
        <v>145</v>
      </c>
      <c r="H99" s="486">
        <v>12877900.02</v>
      </c>
    </row>
    <row r="100" spans="1:12" s="485" customFormat="1" ht="15.75">
      <c r="A100" s="487">
        <v>2</v>
      </c>
      <c r="B100" s="486" t="s">
        <v>157</v>
      </c>
      <c r="C100" s="486">
        <v>101</v>
      </c>
      <c r="D100" s="486">
        <v>12434675.43</v>
      </c>
      <c r="E100" s="37">
        <f t="shared" si="12"/>
        <v>123115.6</v>
      </c>
      <c r="F100" s="40">
        <f t="shared" si="13"/>
        <v>12434675.6</v>
      </c>
      <c r="G100" s="486">
        <v>99</v>
      </c>
      <c r="H100" s="486">
        <v>12188444.23</v>
      </c>
    </row>
    <row r="101" spans="1:12" s="485" customFormat="1" ht="15.75">
      <c r="A101" s="487">
        <v>3</v>
      </c>
      <c r="B101" s="486" t="s">
        <v>158</v>
      </c>
      <c r="C101" s="486">
        <v>128</v>
      </c>
      <c r="D101" s="486">
        <v>9411271.3800000008</v>
      </c>
      <c r="E101" s="37">
        <f t="shared" si="12"/>
        <v>73525.56</v>
      </c>
      <c r="F101" s="40">
        <f t="shared" si="13"/>
        <v>9411271.6799999997</v>
      </c>
      <c r="G101" s="486">
        <v>126</v>
      </c>
      <c r="H101" s="486">
        <v>9264220.2599999998</v>
      </c>
    </row>
    <row r="102" spans="1:12" s="485" customFormat="1" ht="30.75">
      <c r="A102" s="487">
        <v>4</v>
      </c>
      <c r="B102" s="486" t="s">
        <v>159</v>
      </c>
      <c r="C102" s="486">
        <v>51</v>
      </c>
      <c r="D102" s="486">
        <v>6428684.0199999996</v>
      </c>
      <c r="E102" s="37">
        <f t="shared" si="12"/>
        <v>126052.63</v>
      </c>
      <c r="F102" s="40">
        <f t="shared" si="13"/>
        <v>6428684.1299999999</v>
      </c>
      <c r="G102" s="486">
        <v>67</v>
      </c>
      <c r="H102" s="486">
        <v>8445526.0700000003</v>
      </c>
    </row>
    <row r="103" spans="1:12" s="485" customFormat="1" ht="15.75">
      <c r="A103" s="487">
        <v>5</v>
      </c>
      <c r="B103" s="486" t="s">
        <v>160</v>
      </c>
      <c r="C103" s="486">
        <v>44</v>
      </c>
      <c r="D103" s="486">
        <f>5877757.42+1057.24</f>
        <v>5878814.6600000001</v>
      </c>
      <c r="E103" s="37">
        <f t="shared" si="12"/>
        <v>133609.42000000001</v>
      </c>
      <c r="F103" s="40">
        <f t="shared" si="13"/>
        <v>5878814.4800000004</v>
      </c>
      <c r="G103" s="486">
        <v>45</v>
      </c>
      <c r="H103" s="486">
        <v>6011342.8200000003</v>
      </c>
    </row>
    <row r="104" spans="1:12" s="485" customFormat="1" ht="15.75">
      <c r="A104" s="487">
        <v>6</v>
      </c>
      <c r="B104" s="486" t="s">
        <v>161</v>
      </c>
      <c r="C104" s="486">
        <v>35</v>
      </c>
      <c r="D104" s="486">
        <v>5743009.04</v>
      </c>
      <c r="E104" s="37">
        <f t="shared" si="12"/>
        <v>164085.97</v>
      </c>
      <c r="F104" s="40">
        <f t="shared" si="13"/>
        <v>5743008.9500000002</v>
      </c>
      <c r="G104" s="486">
        <v>37</v>
      </c>
      <c r="H104" s="486">
        <v>6071180.9900000002</v>
      </c>
    </row>
    <row r="105" spans="1:12" s="485" customFormat="1" ht="15.75">
      <c r="A105" s="487">
        <v>7</v>
      </c>
      <c r="B105" s="486" t="s">
        <v>162</v>
      </c>
      <c r="C105" s="486">
        <v>34</v>
      </c>
      <c r="D105" s="486">
        <v>5889948.2000000002</v>
      </c>
      <c r="E105" s="37">
        <f t="shared" si="12"/>
        <v>173233.77</v>
      </c>
      <c r="F105" s="40">
        <f t="shared" si="13"/>
        <v>5889948.1799999997</v>
      </c>
      <c r="G105" s="486">
        <v>38</v>
      </c>
      <c r="H105" s="486">
        <v>6582883.2800000003</v>
      </c>
    </row>
    <row r="106" spans="1:12" s="485" customFormat="1" ht="30.6" customHeight="1">
      <c r="A106" s="487">
        <v>8</v>
      </c>
      <c r="B106" s="486" t="s">
        <v>163</v>
      </c>
      <c r="C106" s="486">
        <v>146</v>
      </c>
      <c r="D106" s="486">
        <v>4764196.66</v>
      </c>
      <c r="E106" s="37">
        <f t="shared" si="12"/>
        <v>32631.48</v>
      </c>
      <c r="F106" s="40">
        <f t="shared" si="13"/>
        <v>4764196.08</v>
      </c>
      <c r="G106" s="486">
        <v>150</v>
      </c>
      <c r="H106" s="486">
        <v>4894722.5999999996</v>
      </c>
    </row>
    <row r="107" spans="1:12" s="485" customFormat="1" ht="26.45" customHeight="1">
      <c r="A107" s="46"/>
      <c r="B107" s="49" t="s">
        <v>115</v>
      </c>
      <c r="C107" s="50">
        <f>SUM(C99:C106)</f>
        <v>691</v>
      </c>
      <c r="D107" s="50">
        <f>SUM(D99:D106)</f>
        <v>64050191.140000001</v>
      </c>
      <c r="E107" s="50">
        <f>SUM(E99:E106)</f>
        <v>915067.53</v>
      </c>
      <c r="F107" s="50">
        <f>SUM(F99:F106)</f>
        <v>64050190.300000004</v>
      </c>
      <c r="G107" s="50"/>
      <c r="H107" s="50">
        <f>SUM(H99:H106)</f>
        <v>66336220.270000003</v>
      </c>
    </row>
    <row r="108" spans="1:12" s="51" customFormat="1" ht="15.75" hidden="1">
      <c r="A108" s="497"/>
      <c r="B108" s="497" t="s">
        <v>116</v>
      </c>
      <c r="C108" s="497">
        <f>C107+C97</f>
        <v>1249</v>
      </c>
      <c r="D108" s="497">
        <f>D107+D97</f>
        <v>95936915.140000001</v>
      </c>
      <c r="E108" s="497">
        <f>E107+E97</f>
        <v>915067.53</v>
      </c>
      <c r="F108" s="497">
        <f>F107+F97</f>
        <v>64050190.300000004</v>
      </c>
      <c r="G108" s="497"/>
      <c r="H108" s="497">
        <f>H107+H97</f>
        <v>97880076.270000011</v>
      </c>
      <c r="J108" s="1080">
        <f>'Фонды2015-2017'!AJ80</f>
        <v>95936910.190000013</v>
      </c>
      <c r="K108" s="51">
        <f>J108-D108</f>
        <v>-4.949999988079071</v>
      </c>
    </row>
    <row r="109" spans="1:12" ht="20.45" customHeight="1">
      <c r="A109" s="36"/>
      <c r="B109" s="1765" t="s">
        <v>96</v>
      </c>
      <c r="C109" s="1765"/>
      <c r="D109" s="1765"/>
      <c r="E109" s="1765"/>
      <c r="F109" s="1765"/>
      <c r="G109" s="1765"/>
      <c r="H109" s="37"/>
      <c r="I109" s="36"/>
      <c r="J109" s="36"/>
      <c r="K109" s="36"/>
    </row>
    <row r="110" spans="1:12" ht="45" hidden="1">
      <c r="A110" s="37"/>
      <c r="B110" s="38" t="s">
        <v>106</v>
      </c>
      <c r="C110" s="37"/>
      <c r="D110" s="37"/>
      <c r="E110" s="517"/>
      <c r="F110" s="37"/>
      <c r="G110" s="517"/>
      <c r="H110" s="37"/>
      <c r="I110" s="523"/>
      <c r="J110" s="523"/>
      <c r="K110" s="523"/>
      <c r="L110" s="523"/>
    </row>
    <row r="111" spans="1:12" ht="30" hidden="1">
      <c r="A111" s="37">
        <v>1</v>
      </c>
      <c r="B111" s="37" t="s">
        <v>164</v>
      </c>
      <c r="C111" s="424">
        <v>716</v>
      </c>
      <c r="D111" s="79">
        <f>37296868+25849.8</f>
        <v>37322717.799999997</v>
      </c>
      <c r="E111" s="1109"/>
      <c r="F111" s="79"/>
      <c r="G111" s="521">
        <v>751</v>
      </c>
      <c r="H111" s="424">
        <v>37987215</v>
      </c>
      <c r="I111" s="523"/>
      <c r="J111" s="523"/>
      <c r="K111" s="523"/>
      <c r="L111" s="523"/>
    </row>
    <row r="112" spans="1:12" ht="30" hidden="1">
      <c r="A112" s="37">
        <v>2</v>
      </c>
      <c r="B112" s="37" t="s">
        <v>165</v>
      </c>
      <c r="C112" s="424">
        <v>591</v>
      </c>
      <c r="D112" s="424">
        <v>27520524</v>
      </c>
      <c r="E112" s="521"/>
      <c r="F112" s="424"/>
      <c r="G112" s="521">
        <v>619</v>
      </c>
      <c r="H112" s="424">
        <v>28010733</v>
      </c>
      <c r="I112" s="523"/>
      <c r="J112" s="523"/>
      <c r="K112" s="523"/>
      <c r="L112" s="523"/>
    </row>
    <row r="113" spans="1:12" ht="30" hidden="1">
      <c r="A113" s="37">
        <v>3</v>
      </c>
      <c r="B113" s="37" t="s">
        <v>166</v>
      </c>
      <c r="C113" s="424">
        <v>322</v>
      </c>
      <c r="D113" s="424">
        <v>14240792</v>
      </c>
      <c r="E113" s="521"/>
      <c r="F113" s="424"/>
      <c r="G113" s="521">
        <v>330</v>
      </c>
      <c r="H113" s="424">
        <v>14593034</v>
      </c>
      <c r="I113" s="523"/>
      <c r="J113" s="523"/>
      <c r="K113" s="523"/>
      <c r="L113" s="523"/>
    </row>
    <row r="114" spans="1:12" ht="29.45" hidden="1" customHeight="1">
      <c r="A114" s="37">
        <v>4</v>
      </c>
      <c r="B114" s="37" t="s">
        <v>167</v>
      </c>
      <c r="C114" s="424">
        <v>583</v>
      </c>
      <c r="D114" s="424">
        <v>25908442</v>
      </c>
      <c r="E114" s="521"/>
      <c r="F114" s="424"/>
      <c r="G114" s="521">
        <v>598</v>
      </c>
      <c r="H114" s="424">
        <v>26320157</v>
      </c>
      <c r="I114" s="523"/>
      <c r="J114" s="523"/>
      <c r="K114" s="523"/>
      <c r="L114" s="523"/>
    </row>
    <row r="115" spans="1:12" ht="29.45" hidden="1" customHeight="1">
      <c r="A115" s="37"/>
      <c r="B115" s="39" t="s">
        <v>108</v>
      </c>
      <c r="C115" s="40">
        <f>SUM(C111:C114)</f>
        <v>2212</v>
      </c>
      <c r="D115" s="498">
        <f>SUM(D111:D114)</f>
        <v>104992475.8</v>
      </c>
      <c r="E115" s="527"/>
      <c r="F115" s="498"/>
      <c r="G115" s="527">
        <f>SUM(G111:G114)</f>
        <v>2298</v>
      </c>
      <c r="H115" s="40">
        <f>SUM(H111:H114)</f>
        <v>106911139</v>
      </c>
      <c r="I115" s="525"/>
      <c r="J115" s="525"/>
      <c r="K115" s="523"/>
      <c r="L115" s="526"/>
    </row>
    <row r="116" spans="1:12" ht="29.45" customHeight="1">
      <c r="A116" s="37"/>
      <c r="B116" s="38" t="s">
        <v>109</v>
      </c>
      <c r="C116" s="37"/>
      <c r="D116" s="37"/>
      <c r="E116" s="517"/>
      <c r="F116" s="37"/>
      <c r="G116" s="517"/>
      <c r="H116" s="37"/>
      <c r="I116" s="523"/>
      <c r="J116" s="523"/>
      <c r="K116" s="523"/>
      <c r="L116" s="523"/>
    </row>
    <row r="117" spans="1:12" ht="29.45" customHeight="1">
      <c r="A117" s="464">
        <v>1</v>
      </c>
      <c r="B117" s="37" t="s">
        <v>168</v>
      </c>
      <c r="C117" s="499">
        <v>121</v>
      </c>
      <c r="D117" s="37">
        <f>12640621-70000</f>
        <v>12570621</v>
      </c>
      <c r="E117" s="37">
        <f t="shared" ref="E117:E125" si="14">ROUND(D117/C117,2)</f>
        <v>103889.43</v>
      </c>
      <c r="F117" s="40">
        <f t="shared" ref="F117:F125" si="15">ROUND(E117*C117,2)</f>
        <v>12570621.029999999</v>
      </c>
      <c r="G117" s="517">
        <v>126</v>
      </c>
      <c r="H117" s="37">
        <v>12640621</v>
      </c>
      <c r="I117" s="523"/>
      <c r="J117" s="523"/>
      <c r="K117" s="523"/>
      <c r="L117" s="523"/>
    </row>
    <row r="118" spans="1:12" s="425" customFormat="1" ht="29.45" customHeight="1">
      <c r="A118" s="500">
        <v>2</v>
      </c>
      <c r="B118" s="68" t="s">
        <v>169</v>
      </c>
      <c r="C118" s="68">
        <v>112</v>
      </c>
      <c r="D118" s="37">
        <v>8460933</v>
      </c>
      <c r="E118" s="37">
        <f t="shared" si="14"/>
        <v>75544.039999999994</v>
      </c>
      <c r="F118" s="40">
        <f t="shared" si="15"/>
        <v>8460932.4800000004</v>
      </c>
      <c r="G118" s="517">
        <v>117</v>
      </c>
      <c r="H118" s="68">
        <v>8460933</v>
      </c>
      <c r="I118" s="526"/>
      <c r="J118" s="526"/>
      <c r="K118" s="526"/>
      <c r="L118" s="523"/>
    </row>
    <row r="119" spans="1:12" s="425" customFormat="1" ht="30.75">
      <c r="A119" s="500">
        <v>3</v>
      </c>
      <c r="B119" s="68" t="s">
        <v>170</v>
      </c>
      <c r="C119" s="501">
        <v>67</v>
      </c>
      <c r="D119" s="424">
        <f>9767363</f>
        <v>9767363</v>
      </c>
      <c r="E119" s="37">
        <f t="shared" si="14"/>
        <v>145781.54</v>
      </c>
      <c r="F119" s="40">
        <f t="shared" si="15"/>
        <v>9767363.1799999997</v>
      </c>
      <c r="G119" s="520">
        <v>68</v>
      </c>
      <c r="H119" s="68">
        <v>9767363</v>
      </c>
      <c r="I119" s="526"/>
      <c r="J119" s="526"/>
      <c r="K119" s="526"/>
      <c r="L119" s="523"/>
    </row>
    <row r="120" spans="1:12" s="425" customFormat="1" ht="15.75">
      <c r="A120" s="500">
        <v>4</v>
      </c>
      <c r="B120" s="68" t="s">
        <v>171</v>
      </c>
      <c r="C120" s="501">
        <v>176</v>
      </c>
      <c r="D120" s="499">
        <v>13477571</v>
      </c>
      <c r="E120" s="37">
        <f t="shared" si="14"/>
        <v>76577.11</v>
      </c>
      <c r="F120" s="40">
        <f t="shared" si="15"/>
        <v>13477571.359999999</v>
      </c>
      <c r="G120" s="520">
        <v>186</v>
      </c>
      <c r="H120" s="68">
        <v>13477571</v>
      </c>
      <c r="I120" s="526"/>
      <c r="J120" s="526"/>
      <c r="K120" s="526"/>
      <c r="L120" s="523"/>
    </row>
    <row r="121" spans="1:12" s="425" customFormat="1" ht="15.75">
      <c r="A121" s="500">
        <v>5</v>
      </c>
      <c r="B121" s="68" t="s">
        <v>172</v>
      </c>
      <c r="C121" s="501">
        <v>69</v>
      </c>
      <c r="D121" s="499">
        <f>7469196+70000</f>
        <v>7539196</v>
      </c>
      <c r="E121" s="37">
        <f t="shared" si="14"/>
        <v>109263.71</v>
      </c>
      <c r="F121" s="40">
        <f t="shared" si="15"/>
        <v>7539195.9900000002</v>
      </c>
      <c r="G121" s="520">
        <v>78</v>
      </c>
      <c r="H121" s="68">
        <v>7469196</v>
      </c>
      <c r="I121" s="526"/>
      <c r="J121" s="526"/>
      <c r="K121" s="526"/>
      <c r="L121" s="523"/>
    </row>
    <row r="122" spans="1:12" s="425" customFormat="1" ht="30.75">
      <c r="A122" s="500">
        <v>6</v>
      </c>
      <c r="B122" s="68" t="s">
        <v>173</v>
      </c>
      <c r="C122" s="1205">
        <v>39</v>
      </c>
      <c r="D122" s="499">
        <v>6445720</v>
      </c>
      <c r="E122" s="37">
        <f t="shared" si="14"/>
        <v>165274.87</v>
      </c>
      <c r="F122" s="40">
        <f t="shared" si="15"/>
        <v>6445719.9299999997</v>
      </c>
      <c r="G122" s="520">
        <v>40</v>
      </c>
      <c r="H122" s="68">
        <v>6445720</v>
      </c>
      <c r="I122" s="526"/>
      <c r="J122" s="526"/>
      <c r="K122" s="526"/>
      <c r="L122" s="523"/>
    </row>
    <row r="123" spans="1:12" s="425" customFormat="1" ht="30.75">
      <c r="A123" s="500">
        <v>7</v>
      </c>
      <c r="B123" s="68" t="s">
        <v>174</v>
      </c>
      <c r="C123" s="501">
        <v>32</v>
      </c>
      <c r="D123" s="499">
        <v>4900434</v>
      </c>
      <c r="E123" s="37">
        <f t="shared" si="14"/>
        <v>153138.56</v>
      </c>
      <c r="F123" s="40">
        <f t="shared" si="15"/>
        <v>4900433.9199999999</v>
      </c>
      <c r="G123" s="520">
        <v>35</v>
      </c>
      <c r="H123" s="68">
        <v>4900434</v>
      </c>
      <c r="I123" s="526"/>
      <c r="J123" s="526"/>
      <c r="K123" s="526"/>
      <c r="L123" s="523"/>
    </row>
    <row r="124" spans="1:12" s="425" customFormat="1" ht="30.75">
      <c r="A124" s="500">
        <v>8</v>
      </c>
      <c r="B124" s="68" t="s">
        <v>175</v>
      </c>
      <c r="C124" s="501">
        <v>72</v>
      </c>
      <c r="D124" s="499">
        <v>6843756</v>
      </c>
      <c r="E124" s="37">
        <f t="shared" si="14"/>
        <v>95052.17</v>
      </c>
      <c r="F124" s="40">
        <f t="shared" si="15"/>
        <v>6843756.2400000002</v>
      </c>
      <c r="G124" s="520">
        <v>68</v>
      </c>
      <c r="H124" s="68">
        <v>6843756</v>
      </c>
      <c r="I124" s="526"/>
      <c r="J124" s="526"/>
      <c r="K124" s="526"/>
      <c r="L124" s="523"/>
    </row>
    <row r="125" spans="1:12" s="425" customFormat="1" ht="30.75">
      <c r="A125" s="500">
        <v>9</v>
      </c>
      <c r="B125" s="68" t="s">
        <v>176</v>
      </c>
      <c r="C125" s="501">
        <v>17</v>
      </c>
      <c r="D125" s="499">
        <v>3702547</v>
      </c>
      <c r="E125" s="37">
        <f t="shared" si="14"/>
        <v>217796.88</v>
      </c>
      <c r="F125" s="40">
        <f t="shared" si="15"/>
        <v>3702546.96</v>
      </c>
      <c r="G125" s="520">
        <v>19</v>
      </c>
      <c r="H125" s="68">
        <v>3702547</v>
      </c>
      <c r="I125" s="526"/>
      <c r="J125" s="526"/>
      <c r="K125" s="526"/>
      <c r="L125" s="523"/>
    </row>
    <row r="126" spans="1:12" ht="12" customHeight="1">
      <c r="A126" s="37"/>
      <c r="B126" s="37"/>
      <c r="C126" s="37"/>
      <c r="D126" s="37"/>
      <c r="E126" s="517"/>
      <c r="F126" s="517"/>
      <c r="G126" s="517"/>
      <c r="H126" s="37"/>
      <c r="I126" s="523"/>
      <c r="J126" s="523"/>
      <c r="K126" s="523"/>
      <c r="L126" s="523"/>
    </row>
    <row r="127" spans="1:12" ht="28.9" customHeight="1">
      <c r="A127" s="41"/>
      <c r="B127" s="42" t="s">
        <v>115</v>
      </c>
      <c r="C127" s="43">
        <f>SUM(C117:C126)</f>
        <v>705</v>
      </c>
      <c r="D127" s="43">
        <f>SUM(D117:D126)</f>
        <v>73708141</v>
      </c>
      <c r="E127" s="43">
        <f>SUM(E117:E126)</f>
        <v>1142318.31</v>
      </c>
      <c r="F127" s="43">
        <f>SUM(F117:F126)</f>
        <v>73708141.089999989</v>
      </c>
      <c r="G127" s="518"/>
      <c r="H127" s="43">
        <f>SUM(H117:H126)</f>
        <v>73708141</v>
      </c>
      <c r="I127" s="525"/>
      <c r="J127" s="525"/>
      <c r="K127" s="523"/>
      <c r="L127" s="523"/>
    </row>
    <row r="128" spans="1:12" s="45" customFormat="1" ht="15.75" hidden="1">
      <c r="A128" s="44"/>
      <c r="B128" s="44" t="s">
        <v>116</v>
      </c>
      <c r="C128" s="44">
        <f t="shared" ref="C128:H128" si="16">C127+C115</f>
        <v>2917</v>
      </c>
      <c r="D128" s="44">
        <f t="shared" si="16"/>
        <v>178700616.80000001</v>
      </c>
      <c r="E128" s="44">
        <f>E127+E115</f>
        <v>1142318.31</v>
      </c>
      <c r="F128" s="44">
        <f>F127+F115</f>
        <v>73708141.089999989</v>
      </c>
      <c r="G128" s="519">
        <f t="shared" si="16"/>
        <v>2298</v>
      </c>
      <c r="H128" s="44">
        <f t="shared" si="16"/>
        <v>180619280</v>
      </c>
      <c r="I128" s="525"/>
      <c r="J128" s="1080">
        <f>'Фонды2015-2017'!AJ89</f>
        <v>179244803.50999999</v>
      </c>
      <c r="K128" s="51">
        <f>J128-D128</f>
        <v>544186.70999997854</v>
      </c>
    </row>
    <row r="129" spans="1:11" s="485" customFormat="1" ht="21" customHeight="1">
      <c r="B129" s="1770" t="s">
        <v>97</v>
      </c>
      <c r="C129" s="1770"/>
      <c r="D129" s="1770"/>
      <c r="E129" s="1110"/>
      <c r="F129" s="1110"/>
      <c r="H129" s="486"/>
      <c r="I129" s="528"/>
      <c r="J129" s="528"/>
    </row>
    <row r="130" spans="1:11" s="485" customFormat="1" ht="45" hidden="1">
      <c r="A130" s="486"/>
      <c r="B130" s="46" t="s">
        <v>106</v>
      </c>
      <c r="C130" s="486"/>
      <c r="D130" s="486"/>
      <c r="E130" s="486"/>
      <c r="F130" s="486"/>
      <c r="G130" s="486"/>
      <c r="H130" s="486"/>
      <c r="J130" s="485">
        <f>'Фонды2015-2017'!BH98</f>
        <v>21181932.469999999</v>
      </c>
    </row>
    <row r="131" spans="1:11" s="485" customFormat="1" hidden="1">
      <c r="A131" s="486">
        <v>1</v>
      </c>
      <c r="B131" s="486" t="s">
        <v>177</v>
      </c>
      <c r="C131" s="486">
        <v>269</v>
      </c>
      <c r="D131" s="486">
        <f>12895754.12+40000</f>
        <v>12935754.119999999</v>
      </c>
      <c r="E131" s="486"/>
      <c r="F131" s="486"/>
      <c r="G131" s="486">
        <v>269</v>
      </c>
      <c r="H131" s="486"/>
      <c r="J131" s="485">
        <f>J130-D137</f>
        <v>-120000</v>
      </c>
    </row>
    <row r="132" spans="1:11" s="485" customFormat="1" ht="24" hidden="1" customHeight="1">
      <c r="A132" s="486"/>
      <c r="B132" s="47" t="s">
        <v>108</v>
      </c>
      <c r="C132" s="48">
        <f>SUM(C131:C131)</f>
        <v>269</v>
      </c>
      <c r="D132" s="48">
        <f>SUM(D131:D131)</f>
        <v>12935754.119999999</v>
      </c>
      <c r="E132" s="48"/>
      <c r="F132" s="48"/>
      <c r="G132" s="48">
        <f>SUM(G131:G131)</f>
        <v>269</v>
      </c>
      <c r="H132" s="48">
        <f>SUM(H131:H131)</f>
        <v>0</v>
      </c>
    </row>
    <row r="133" spans="1:11" s="485" customFormat="1" ht="45">
      <c r="A133" s="486"/>
      <c r="B133" s="46" t="s">
        <v>109</v>
      </c>
      <c r="C133" s="486"/>
      <c r="D133" s="486"/>
      <c r="E133" s="486"/>
      <c r="F133" s="486"/>
      <c r="G133" s="486"/>
      <c r="H133" s="486"/>
      <c r="J133" s="1103" t="s">
        <v>806</v>
      </c>
    </row>
    <row r="134" spans="1:11" s="485" customFormat="1" ht="15.75">
      <c r="A134" s="487">
        <v>1</v>
      </c>
      <c r="B134" s="486" t="s">
        <v>178</v>
      </c>
      <c r="C134" s="486">
        <v>37</v>
      </c>
      <c r="D134" s="486">
        <f>4670059.64</f>
        <v>4670059.6399999997</v>
      </c>
      <c r="E134" s="37">
        <f>ROUND(D134/C134,2)</f>
        <v>126217.83</v>
      </c>
      <c r="F134" s="40">
        <f>ROUND(E134*C134,2)</f>
        <v>4670059.71</v>
      </c>
      <c r="G134" s="486">
        <v>37</v>
      </c>
      <c r="H134" s="486"/>
    </row>
    <row r="135" spans="1:11" s="485" customFormat="1" ht="15.75">
      <c r="A135" s="487">
        <v>2</v>
      </c>
      <c r="B135" s="486" t="s">
        <v>179</v>
      </c>
      <c r="C135" s="486">
        <v>56</v>
      </c>
      <c r="D135" s="486">
        <f>3696118.71</f>
        <v>3696118.71</v>
      </c>
      <c r="E135" s="37">
        <f>ROUND(D135/C135,2)</f>
        <v>66002.12</v>
      </c>
      <c r="F135" s="40">
        <f>ROUND(E135*C135,2)</f>
        <v>3696118.72</v>
      </c>
      <c r="G135" s="486">
        <v>56</v>
      </c>
      <c r="H135" s="486"/>
    </row>
    <row r="136" spans="1:11" s="485" customFormat="1" ht="24.6" customHeight="1">
      <c r="A136" s="490"/>
      <c r="B136" s="491" t="s">
        <v>115</v>
      </c>
      <c r="C136" s="505">
        <f t="shared" ref="C136:H136" si="17">SUM(C134:C135)</f>
        <v>93</v>
      </c>
      <c r="D136" s="505">
        <f t="shared" si="17"/>
        <v>8366178.3499999996</v>
      </c>
      <c r="E136" s="505">
        <f t="shared" si="17"/>
        <v>192219.95</v>
      </c>
      <c r="F136" s="505">
        <f t="shared" si="17"/>
        <v>8366178.4299999997</v>
      </c>
      <c r="G136" s="505">
        <f t="shared" si="17"/>
        <v>93</v>
      </c>
      <c r="H136" s="505">
        <f t="shared" si="17"/>
        <v>0</v>
      </c>
    </row>
    <row r="137" spans="1:11" s="51" customFormat="1" ht="15.75" hidden="1">
      <c r="A137" s="724"/>
      <c r="B137" s="724" t="s">
        <v>116</v>
      </c>
      <c r="C137" s="724">
        <f t="shared" ref="C137:H137" si="18">C136+C132</f>
        <v>362</v>
      </c>
      <c r="D137" s="724">
        <f t="shared" si="18"/>
        <v>21301932.469999999</v>
      </c>
      <c r="E137" s="724">
        <f t="shared" si="18"/>
        <v>192219.95</v>
      </c>
      <c r="F137" s="724">
        <f t="shared" si="18"/>
        <v>8366178.4299999997</v>
      </c>
      <c r="G137" s="724">
        <f t="shared" si="18"/>
        <v>362</v>
      </c>
      <c r="H137" s="724">
        <f t="shared" si="18"/>
        <v>0</v>
      </c>
      <c r="J137" s="1080">
        <f>'Фонды2015-2017'!AJ98</f>
        <v>21181932.469999999</v>
      </c>
      <c r="K137" s="51">
        <f>J137-D137</f>
        <v>-120000</v>
      </c>
    </row>
    <row r="138" spans="1:11" ht="15.75">
      <c r="A138" s="36"/>
      <c r="B138" s="1766" t="s">
        <v>98</v>
      </c>
      <c r="C138" s="1766"/>
      <c r="D138" s="1766"/>
      <c r="E138" s="1111"/>
      <c r="F138" s="1111"/>
      <c r="I138" s="36"/>
      <c r="J138" s="36"/>
      <c r="K138" s="36"/>
    </row>
    <row r="139" spans="1:11" ht="45" hidden="1">
      <c r="A139" s="37"/>
      <c r="B139" s="38" t="s">
        <v>106</v>
      </c>
      <c r="C139" s="37"/>
      <c r="D139" s="37"/>
      <c r="E139" s="37"/>
      <c r="F139" s="37"/>
      <c r="G139" s="37"/>
      <c r="H139" s="37"/>
      <c r="I139" s="36"/>
      <c r="J139" s="36"/>
      <c r="K139" s="36"/>
    </row>
    <row r="140" spans="1:11" ht="30" hidden="1">
      <c r="A140" s="37">
        <v>1</v>
      </c>
      <c r="B140" s="37" t="s">
        <v>180</v>
      </c>
      <c r="C140" s="37">
        <v>736</v>
      </c>
      <c r="D140" s="63">
        <f>29720690.25+53902.8</f>
        <v>29774593.050000001</v>
      </c>
      <c r="E140" s="63"/>
      <c r="F140" s="63"/>
      <c r="G140" s="37">
        <v>745</v>
      </c>
      <c r="H140" s="63">
        <v>29714204.239999998</v>
      </c>
      <c r="I140" s="36"/>
      <c r="J140" s="36"/>
      <c r="K140" s="36"/>
    </row>
    <row r="141" spans="1:11" ht="30" hidden="1">
      <c r="A141" s="37">
        <v>2</v>
      </c>
      <c r="B141" s="37" t="s">
        <v>181</v>
      </c>
      <c r="C141" s="37">
        <v>690</v>
      </c>
      <c r="D141" s="63">
        <v>30640061.440000001</v>
      </c>
      <c r="E141" s="63"/>
      <c r="F141" s="63"/>
      <c r="G141" s="37">
        <v>705</v>
      </c>
      <c r="H141" s="63">
        <v>31728439.949999999</v>
      </c>
      <c r="I141" s="36"/>
      <c r="J141" s="36"/>
      <c r="K141" s="36"/>
    </row>
    <row r="142" spans="1:11" ht="30" hidden="1">
      <c r="A142" s="37">
        <v>3</v>
      </c>
      <c r="B142" s="37" t="s">
        <v>182</v>
      </c>
      <c r="C142" s="37">
        <v>728</v>
      </c>
      <c r="D142" s="63">
        <f>32111753.38+62886.6</f>
        <v>32174639.98</v>
      </c>
      <c r="E142" s="63"/>
      <c r="F142" s="63"/>
      <c r="G142" s="37">
        <v>756</v>
      </c>
      <c r="H142" s="63">
        <v>32143109.370000001</v>
      </c>
      <c r="I142" s="36"/>
      <c r="J142" s="36"/>
      <c r="K142" s="36"/>
    </row>
    <row r="143" spans="1:11" ht="24" hidden="1" customHeight="1">
      <c r="A143" s="37">
        <v>4</v>
      </c>
      <c r="B143" s="37" t="s">
        <v>183</v>
      </c>
      <c r="C143" s="37">
        <v>434</v>
      </c>
      <c r="D143" s="63">
        <v>22585099.09</v>
      </c>
      <c r="E143" s="1105"/>
      <c r="F143" s="1105"/>
      <c r="G143" s="37">
        <v>444</v>
      </c>
      <c r="H143" s="63">
        <v>24530641.940000001</v>
      </c>
      <c r="I143" s="36"/>
      <c r="J143" s="1104" t="s">
        <v>808</v>
      </c>
      <c r="K143" s="36"/>
    </row>
    <row r="144" spans="1:11" ht="24" hidden="1" customHeight="1">
      <c r="A144" s="37"/>
      <c r="B144" s="39" t="s">
        <v>108</v>
      </c>
      <c r="C144" s="40">
        <f>SUM(C140:C143)</f>
        <v>2588</v>
      </c>
      <c r="D144" s="64">
        <f>SUM(D140:D143)</f>
        <v>115174393.56</v>
      </c>
      <c r="E144" s="64"/>
      <c r="F144" s="64"/>
      <c r="G144" s="64">
        <f>SUM(G140:G143)</f>
        <v>2650</v>
      </c>
      <c r="H144" s="64">
        <f>SUM(H140:H143)</f>
        <v>118116395.5</v>
      </c>
      <c r="I144" s="36"/>
      <c r="J144" s="36"/>
      <c r="K144" s="36"/>
    </row>
    <row r="145" spans="1:11" ht="45">
      <c r="A145" s="37"/>
      <c r="B145" s="38" t="s">
        <v>109</v>
      </c>
      <c r="C145" s="37"/>
      <c r="D145" s="63"/>
      <c r="E145" s="63"/>
      <c r="F145" s="63"/>
      <c r="G145" s="37"/>
      <c r="H145" s="63"/>
      <c r="I145" s="36"/>
      <c r="J145" s="36"/>
      <c r="K145" s="36"/>
    </row>
    <row r="146" spans="1:11" ht="30.75">
      <c r="A146" s="464">
        <v>1</v>
      </c>
      <c r="B146" s="37" t="s">
        <v>184</v>
      </c>
      <c r="C146" s="37">
        <v>155</v>
      </c>
      <c r="D146" s="37">
        <f>14238923.1+67443.5</f>
        <v>14306366.6</v>
      </c>
      <c r="E146" s="37">
        <f>ROUND(D146/C146,2)</f>
        <v>92299.14</v>
      </c>
      <c r="F146" s="40">
        <f>ROUND(E146*C146,2)</f>
        <v>14306366.699999999</v>
      </c>
      <c r="G146" s="37">
        <v>156</v>
      </c>
      <c r="H146" s="63">
        <v>14239997.09</v>
      </c>
      <c r="I146" s="36"/>
      <c r="J146" s="36"/>
      <c r="K146" s="36"/>
    </row>
    <row r="147" spans="1:11" ht="30.75">
      <c r="A147" s="464">
        <v>2</v>
      </c>
      <c r="B147" s="37" t="s">
        <v>185</v>
      </c>
      <c r="C147" s="37">
        <v>117</v>
      </c>
      <c r="D147" s="37">
        <f>14085167.85+44919</f>
        <v>14130086.85</v>
      </c>
      <c r="E147" s="37">
        <f>ROUND(D147/C147,2)</f>
        <v>120769.97</v>
      </c>
      <c r="F147" s="40">
        <f>ROUND(E147*C147,2)</f>
        <v>14130086.49</v>
      </c>
      <c r="G147" s="37">
        <v>123</v>
      </c>
      <c r="H147" s="63">
        <v>14087780.85</v>
      </c>
      <c r="I147" s="36"/>
      <c r="J147" s="36"/>
      <c r="K147" s="36"/>
    </row>
    <row r="148" spans="1:11" ht="30.75">
      <c r="A148" s="464">
        <v>3</v>
      </c>
      <c r="B148" s="37" t="s">
        <v>186</v>
      </c>
      <c r="C148" s="37">
        <v>149</v>
      </c>
      <c r="D148" s="37">
        <v>13796710.58</v>
      </c>
      <c r="E148" s="37">
        <f>ROUND(D148/C148,2)</f>
        <v>92595.37</v>
      </c>
      <c r="F148" s="40">
        <f>ROUND(E148*C148,2)</f>
        <v>13796710.130000001</v>
      </c>
      <c r="G148" s="37">
        <v>144</v>
      </c>
      <c r="H148" s="63">
        <v>16093408.380000001</v>
      </c>
      <c r="I148" s="36"/>
      <c r="J148" s="36">
        <v>155316623.09999999</v>
      </c>
      <c r="K148" s="36"/>
    </row>
    <row r="149" spans="1:11" ht="24" customHeight="1">
      <c r="A149" s="464">
        <v>4</v>
      </c>
      <c r="B149" s="37" t="s">
        <v>187</v>
      </c>
      <c r="C149" s="37">
        <v>0</v>
      </c>
      <c r="D149" s="37">
        <v>0</v>
      </c>
      <c r="E149" s="37"/>
      <c r="F149" s="40"/>
      <c r="G149" s="37">
        <v>0</v>
      </c>
      <c r="H149" s="63"/>
      <c r="I149" s="36"/>
      <c r="J149" s="36">
        <f>J148-H151</f>
        <v>-7220958.7199999988</v>
      </c>
      <c r="K149" s="36"/>
    </row>
    <row r="150" spans="1:11" ht="60.75">
      <c r="A150" s="41"/>
      <c r="B150" s="42" t="s">
        <v>115</v>
      </c>
      <c r="C150" s="43">
        <f t="shared" ref="C150:H150" si="19">SUM(C146:C149)</f>
        <v>421</v>
      </c>
      <c r="D150" s="53">
        <f t="shared" si="19"/>
        <v>42233164.030000001</v>
      </c>
      <c r="E150" s="53">
        <f t="shared" si="19"/>
        <v>305664.48</v>
      </c>
      <c r="F150" s="53">
        <f t="shared" si="19"/>
        <v>42233163.32</v>
      </c>
      <c r="G150" s="53">
        <f t="shared" si="19"/>
        <v>423</v>
      </c>
      <c r="H150" s="53">
        <f t="shared" si="19"/>
        <v>44421186.32</v>
      </c>
      <c r="I150" s="36"/>
      <c r="J150" s="36"/>
      <c r="K150" s="36"/>
    </row>
    <row r="151" spans="1:11" s="45" customFormat="1" ht="15.75" hidden="1">
      <c r="A151" s="44"/>
      <c r="B151" s="44" t="s">
        <v>116</v>
      </c>
      <c r="C151" s="44">
        <f t="shared" ref="C151:H151" si="20">C150+C144</f>
        <v>3009</v>
      </c>
      <c r="D151" s="54">
        <f t="shared" si="20"/>
        <v>157407557.59</v>
      </c>
      <c r="E151" s="54">
        <f t="shared" si="20"/>
        <v>305664.48</v>
      </c>
      <c r="F151" s="54">
        <f t="shared" si="20"/>
        <v>42233163.32</v>
      </c>
      <c r="G151" s="54">
        <f t="shared" si="20"/>
        <v>3073</v>
      </c>
      <c r="H151" s="54">
        <f t="shared" si="20"/>
        <v>162537581.81999999</v>
      </c>
      <c r="J151" s="1080">
        <f>'Фонды2015-2017'!AJ107</f>
        <v>157230225.19</v>
      </c>
      <c r="K151" s="51">
        <f>J151-D151</f>
        <v>-177332.40000000596</v>
      </c>
    </row>
    <row r="152" spans="1:11" ht="24.6" customHeight="1">
      <c r="A152" s="36"/>
      <c r="B152" s="1766" t="s">
        <v>99</v>
      </c>
      <c r="C152" s="1766"/>
      <c r="D152" s="1766"/>
      <c r="E152" s="1111"/>
      <c r="F152" s="1111"/>
      <c r="I152" s="36"/>
      <c r="J152" s="36"/>
      <c r="K152" s="36"/>
    </row>
    <row r="153" spans="1:11" ht="45">
      <c r="A153" s="37"/>
      <c r="B153" s="38" t="s">
        <v>109</v>
      </c>
      <c r="C153" s="37"/>
      <c r="D153" s="37"/>
      <c r="E153" s="37"/>
      <c r="F153" s="37"/>
      <c r="G153" s="37"/>
      <c r="H153" s="37"/>
      <c r="I153" s="36"/>
      <c r="J153" s="36"/>
      <c r="K153" s="36"/>
    </row>
    <row r="154" spans="1:11" ht="30.75">
      <c r="A154" s="464">
        <v>1</v>
      </c>
      <c r="B154" s="37" t="s">
        <v>188</v>
      </c>
      <c r="C154" s="37">
        <v>429</v>
      </c>
      <c r="D154" s="424">
        <f>28129689.65</f>
        <v>28129689.649999999</v>
      </c>
      <c r="E154" s="37">
        <f>ROUND(D154/C154,2)</f>
        <v>65570.37</v>
      </c>
      <c r="F154" s="40">
        <f>ROUND(E154*C154,2)</f>
        <v>28129688.73</v>
      </c>
      <c r="G154" s="37">
        <v>429</v>
      </c>
      <c r="H154" s="37">
        <v>29647859.260000002</v>
      </c>
      <c r="I154" s="36"/>
      <c r="J154" s="62"/>
      <c r="K154" s="37">
        <v>29647859.260000002</v>
      </c>
    </row>
    <row r="155" spans="1:11" ht="15.75">
      <c r="A155" s="464">
        <v>2</v>
      </c>
      <c r="B155" s="37" t="s">
        <v>189</v>
      </c>
      <c r="C155" s="37">
        <v>123</v>
      </c>
      <c r="D155" s="424">
        <f>10344694</f>
        <v>10344694</v>
      </c>
      <c r="E155" s="37">
        <f>ROUND(D155/C155,2)</f>
        <v>84103.2</v>
      </c>
      <c r="F155" s="40">
        <f>ROUND(E155*C155,2)</f>
        <v>10344693.6</v>
      </c>
      <c r="G155" s="37">
        <v>123</v>
      </c>
      <c r="H155" s="37">
        <v>11722680.83</v>
      </c>
      <c r="I155" s="36"/>
      <c r="J155" s="62"/>
      <c r="K155" s="37">
        <v>11572766.4</v>
      </c>
    </row>
    <row r="156" spans="1:11" ht="15.75">
      <c r="A156" s="464">
        <v>3</v>
      </c>
      <c r="B156" s="37" t="s">
        <v>190</v>
      </c>
      <c r="C156" s="37">
        <v>47</v>
      </c>
      <c r="D156" s="424">
        <f>5663997.18</f>
        <v>5663997.1799999997</v>
      </c>
      <c r="E156" s="37">
        <f>ROUND(D156/C156,2)</f>
        <v>120510.58</v>
      </c>
      <c r="F156" s="40">
        <f>ROUND(E156*C156,2)</f>
        <v>5663997.2599999998</v>
      </c>
      <c r="G156" s="37">
        <v>52</v>
      </c>
      <c r="H156" s="37">
        <v>5807428.7300000004</v>
      </c>
      <c r="I156" s="36"/>
      <c r="J156" s="1106" t="s">
        <v>823</v>
      </c>
      <c r="K156" s="37">
        <v>5724472.7599999998</v>
      </c>
    </row>
    <row r="157" spans="1:11" ht="30.75">
      <c r="A157" s="464">
        <v>4</v>
      </c>
      <c r="B157" s="37" t="s">
        <v>191</v>
      </c>
      <c r="C157" s="37">
        <v>42</v>
      </c>
      <c r="D157" s="424">
        <f>5083090</f>
        <v>5083090</v>
      </c>
      <c r="E157" s="37">
        <f>ROUND(D157/C157,2)</f>
        <v>121025.95</v>
      </c>
      <c r="F157" s="40">
        <f>ROUND(E157*C157,2)</f>
        <v>5083089.9000000004</v>
      </c>
      <c r="G157" s="37">
        <v>45</v>
      </c>
      <c r="H157" s="37">
        <v>5775171.0499999998</v>
      </c>
      <c r="I157" s="36"/>
      <c r="J157" s="62"/>
      <c r="K157" s="37">
        <v>5318296.28</v>
      </c>
    </row>
    <row r="158" spans="1:11" ht="33" customHeight="1">
      <c r="A158" s="464">
        <v>5</v>
      </c>
      <c r="B158" s="37" t="s">
        <v>192</v>
      </c>
      <c r="C158" s="37">
        <v>34</v>
      </c>
      <c r="D158" s="424">
        <f>4777219</f>
        <v>4777219</v>
      </c>
      <c r="E158" s="37">
        <f>ROUND(D158/C158,2)</f>
        <v>140506.44</v>
      </c>
      <c r="F158" s="40">
        <f>ROUND(E158*C158,2)</f>
        <v>4777218.96</v>
      </c>
      <c r="G158" s="37">
        <v>34</v>
      </c>
      <c r="H158" s="37">
        <v>4863199.7699999996</v>
      </c>
      <c r="I158" s="36"/>
      <c r="J158" s="62"/>
      <c r="K158" s="37">
        <v>4863199.7699999996</v>
      </c>
    </row>
    <row r="159" spans="1:11" ht="30" customHeight="1">
      <c r="A159" s="41"/>
      <c r="B159" s="42" t="s">
        <v>115</v>
      </c>
      <c r="C159" s="43">
        <f t="shared" ref="C159:H159" si="21">SUM(C154:C158)</f>
        <v>675</v>
      </c>
      <c r="D159" s="43">
        <f t="shared" si="21"/>
        <v>53998689.829999998</v>
      </c>
      <c r="E159" s="43">
        <f t="shared" si="21"/>
        <v>531716.54</v>
      </c>
      <c r="F159" s="43">
        <f t="shared" si="21"/>
        <v>53998688.449999996</v>
      </c>
      <c r="G159" s="43">
        <f t="shared" si="21"/>
        <v>683</v>
      </c>
      <c r="H159" s="43">
        <f t="shared" si="21"/>
        <v>57816339.640000001</v>
      </c>
      <c r="I159" s="36"/>
      <c r="J159" s="738"/>
      <c r="K159" s="43">
        <f>SUM(K154:K158)</f>
        <v>57126594.469999999</v>
      </c>
    </row>
    <row r="160" spans="1:11" s="45" customFormat="1" ht="15.75" hidden="1">
      <c r="A160" s="44"/>
      <c r="B160" s="44" t="s">
        <v>116</v>
      </c>
      <c r="C160" s="44">
        <f t="shared" ref="C160:H160" si="22">C159+C152</f>
        <v>675</v>
      </c>
      <c r="D160" s="44">
        <f t="shared" si="22"/>
        <v>53998689.829999998</v>
      </c>
      <c r="E160" s="44">
        <f t="shared" si="22"/>
        <v>531716.54</v>
      </c>
      <c r="F160" s="44">
        <f t="shared" si="22"/>
        <v>53998688.449999996</v>
      </c>
      <c r="G160" s="44">
        <f t="shared" si="22"/>
        <v>683</v>
      </c>
      <c r="H160" s="44">
        <f t="shared" si="22"/>
        <v>57816339.640000001</v>
      </c>
      <c r="J160" s="1080">
        <f>'Фонды2015-2017'!AJ116</f>
        <v>53998689.829999998</v>
      </c>
      <c r="K160" s="51">
        <f>J160-D160</f>
        <v>0</v>
      </c>
    </row>
    <row r="161" spans="1:11" ht="24.6" customHeight="1">
      <c r="A161" s="36"/>
      <c r="B161" s="1766" t="s">
        <v>100</v>
      </c>
      <c r="C161" s="1766"/>
      <c r="D161" s="1766"/>
      <c r="E161" s="1111"/>
      <c r="F161" s="1111"/>
      <c r="I161" s="36"/>
      <c r="J161" s="36"/>
      <c r="K161" s="36"/>
    </row>
    <row r="162" spans="1:11" ht="45" hidden="1">
      <c r="A162" s="37"/>
      <c r="B162" s="38" t="s">
        <v>106</v>
      </c>
      <c r="C162" s="37"/>
      <c r="D162" s="37"/>
      <c r="E162" s="37"/>
      <c r="F162" s="37"/>
      <c r="G162" s="37"/>
      <c r="H162" s="37"/>
      <c r="I162" s="36"/>
      <c r="J162" s="36"/>
      <c r="K162" s="36"/>
    </row>
    <row r="163" spans="1:11" hidden="1">
      <c r="A163" s="37">
        <v>1</v>
      </c>
      <c r="B163" s="37" t="s">
        <v>193</v>
      </c>
      <c r="C163" s="37">
        <v>553</v>
      </c>
      <c r="D163" s="37">
        <v>19636830.609999999</v>
      </c>
      <c r="E163" s="37"/>
      <c r="F163" s="37"/>
      <c r="G163" s="37">
        <v>558</v>
      </c>
      <c r="H163" s="37">
        <v>19798300.260000002</v>
      </c>
      <c r="I163" s="36"/>
      <c r="J163" s="36"/>
      <c r="K163" s="36"/>
    </row>
    <row r="164" spans="1:11" hidden="1">
      <c r="A164" s="37">
        <v>2</v>
      </c>
      <c r="B164" s="37" t="s">
        <v>194</v>
      </c>
      <c r="C164" s="37">
        <v>547</v>
      </c>
      <c r="D164" s="37">
        <v>19676353.559999999</v>
      </c>
      <c r="E164" s="37"/>
      <c r="F164" s="37"/>
      <c r="G164" s="37">
        <v>543</v>
      </c>
      <c r="H164" s="37">
        <v>19576444.859999999</v>
      </c>
      <c r="I164" s="36"/>
      <c r="J164" s="36"/>
      <c r="K164" s="36"/>
    </row>
    <row r="165" spans="1:11" hidden="1">
      <c r="A165" s="37">
        <v>3</v>
      </c>
      <c r="B165" s="37" t="s">
        <v>195</v>
      </c>
      <c r="C165" s="37">
        <v>559</v>
      </c>
      <c r="D165" s="37">
        <v>19926299.010000002</v>
      </c>
      <c r="E165" s="37"/>
      <c r="F165" s="37"/>
      <c r="G165" s="37">
        <v>562</v>
      </c>
      <c r="H165" s="37">
        <v>20011208.620000001</v>
      </c>
      <c r="I165" s="36"/>
      <c r="J165" s="36"/>
      <c r="K165" s="36"/>
    </row>
    <row r="166" spans="1:11" ht="17.25" hidden="1" customHeight="1">
      <c r="A166" s="37">
        <v>4</v>
      </c>
      <c r="B166" s="37" t="s">
        <v>196</v>
      </c>
      <c r="C166" s="37">
        <v>436</v>
      </c>
      <c r="D166" s="37">
        <v>15498736.960000001</v>
      </c>
      <c r="E166" s="37"/>
      <c r="F166" s="37"/>
      <c r="G166" s="37">
        <v>436</v>
      </c>
      <c r="H166" s="37">
        <v>15557019.869999999</v>
      </c>
      <c r="I166" s="36"/>
      <c r="J166" s="36"/>
      <c r="K166" s="36"/>
    </row>
    <row r="167" spans="1:11" ht="30" hidden="1" customHeight="1">
      <c r="A167" s="37"/>
      <c r="B167" s="39" t="s">
        <v>108</v>
      </c>
      <c r="C167" s="40">
        <f>SUM(C163:C166)</f>
        <v>2095</v>
      </c>
      <c r="D167" s="40">
        <f>SUM(D163:D166)</f>
        <v>74738220.140000015</v>
      </c>
      <c r="E167" s="40"/>
      <c r="F167" s="40"/>
      <c r="G167" s="40">
        <f>SUM(G163:G166)</f>
        <v>2099</v>
      </c>
      <c r="H167" s="40">
        <f>SUM(H163:H166)</f>
        <v>74942973.610000014</v>
      </c>
      <c r="I167" s="36"/>
      <c r="J167" s="36"/>
      <c r="K167" s="36"/>
    </row>
    <row r="168" spans="1:11" ht="45">
      <c r="A168" s="37"/>
      <c r="B168" s="38" t="s">
        <v>109</v>
      </c>
      <c r="C168" s="37"/>
      <c r="D168" s="37"/>
      <c r="E168" s="37"/>
      <c r="F168" s="37"/>
      <c r="G168" s="37"/>
      <c r="H168" s="37"/>
      <c r="I168" s="36"/>
      <c r="J168" s="36"/>
      <c r="K168" s="36"/>
    </row>
    <row r="169" spans="1:11" s="462" customFormat="1" ht="15.75">
      <c r="A169" s="502">
        <v>1</v>
      </c>
      <c r="B169" s="424" t="s">
        <v>197</v>
      </c>
      <c r="C169" s="424">
        <v>127</v>
      </c>
      <c r="D169" s="424">
        <v>5143080.9000000004</v>
      </c>
      <c r="E169" s="37">
        <f t="shared" ref="E169:E179" si="23">ROUND(D169/C169,2)</f>
        <v>40496.699999999997</v>
      </c>
      <c r="F169" s="40">
        <f t="shared" ref="F169:F179" si="24">ROUND(E169*C169,2)</f>
        <v>5143080.9000000004</v>
      </c>
      <c r="G169" s="424">
        <v>121</v>
      </c>
      <c r="H169" s="424">
        <v>5143080.9000000004</v>
      </c>
    </row>
    <row r="170" spans="1:11" s="462" customFormat="1" ht="15.75">
      <c r="A170" s="502">
        <v>2</v>
      </c>
      <c r="B170" s="424" t="s">
        <v>198</v>
      </c>
      <c r="C170" s="424">
        <v>54</v>
      </c>
      <c r="D170" s="424">
        <v>5186260.9800000004</v>
      </c>
      <c r="E170" s="37">
        <f t="shared" si="23"/>
        <v>96041.87</v>
      </c>
      <c r="F170" s="40">
        <f t="shared" si="24"/>
        <v>5186260.9800000004</v>
      </c>
      <c r="G170" s="424">
        <v>63</v>
      </c>
      <c r="H170" s="424">
        <v>5186260.9800000004</v>
      </c>
    </row>
    <row r="171" spans="1:11" s="462" customFormat="1" ht="16.5" customHeight="1">
      <c r="A171" s="502">
        <v>3</v>
      </c>
      <c r="B171" s="424" t="s">
        <v>199</v>
      </c>
      <c r="C171" s="424">
        <v>238</v>
      </c>
      <c r="D171" s="424">
        <v>16209903.92</v>
      </c>
      <c r="E171" s="37">
        <f t="shared" si="23"/>
        <v>68108.84</v>
      </c>
      <c r="F171" s="40">
        <f t="shared" si="24"/>
        <v>16209903.92</v>
      </c>
      <c r="G171" s="424">
        <v>243</v>
      </c>
      <c r="H171" s="424">
        <v>16209903.92</v>
      </c>
    </row>
    <row r="172" spans="1:11" s="462" customFormat="1" ht="15.75">
      <c r="A172" s="502">
        <v>4</v>
      </c>
      <c r="B172" s="424" t="s">
        <v>200</v>
      </c>
      <c r="C172" s="424">
        <v>93</v>
      </c>
      <c r="D172" s="424">
        <v>5584819.2599999998</v>
      </c>
      <c r="E172" s="37">
        <f t="shared" si="23"/>
        <v>60051.82</v>
      </c>
      <c r="F172" s="40">
        <f t="shared" si="24"/>
        <v>5584819.2599999998</v>
      </c>
      <c r="G172" s="424">
        <v>86</v>
      </c>
      <c r="H172" s="424">
        <v>5584819.2599999998</v>
      </c>
    </row>
    <row r="173" spans="1:11" s="462" customFormat="1" ht="15.75">
      <c r="A173" s="502">
        <v>5</v>
      </c>
      <c r="B173" s="424" t="s">
        <v>666</v>
      </c>
      <c r="C173" s="424">
        <v>21</v>
      </c>
      <c r="D173" s="424">
        <v>4417193.13</v>
      </c>
      <c r="E173" s="37">
        <f t="shared" si="23"/>
        <v>210342.53</v>
      </c>
      <c r="F173" s="40">
        <f t="shared" si="24"/>
        <v>4417193.13</v>
      </c>
      <c r="G173" s="424">
        <v>21</v>
      </c>
      <c r="H173" s="424">
        <v>4417193.13</v>
      </c>
    </row>
    <row r="174" spans="1:11" s="462" customFormat="1" ht="15.75">
      <c r="A174" s="502">
        <v>6</v>
      </c>
      <c r="B174" s="424" t="s">
        <v>201</v>
      </c>
      <c r="C174" s="424">
        <v>165</v>
      </c>
      <c r="D174" s="424">
        <v>10115920.65</v>
      </c>
      <c r="E174" s="37">
        <f t="shared" si="23"/>
        <v>61308.61</v>
      </c>
      <c r="F174" s="40">
        <f t="shared" si="24"/>
        <v>10115920.65</v>
      </c>
      <c r="G174" s="424">
        <v>165</v>
      </c>
      <c r="H174" s="424">
        <v>10115920.65</v>
      </c>
    </row>
    <row r="175" spans="1:11" s="462" customFormat="1" ht="15.75">
      <c r="A175" s="502">
        <v>7</v>
      </c>
      <c r="B175" s="424" t="s">
        <v>202</v>
      </c>
      <c r="C175" s="424">
        <v>143</v>
      </c>
      <c r="D175" s="424">
        <v>8836346.0899999999</v>
      </c>
      <c r="E175" s="37">
        <f t="shared" si="23"/>
        <v>61792.63</v>
      </c>
      <c r="F175" s="40">
        <f t="shared" si="24"/>
        <v>8836346.0899999999</v>
      </c>
      <c r="G175" s="424">
        <v>142</v>
      </c>
      <c r="H175" s="424">
        <v>8836346.0899999999</v>
      </c>
    </row>
    <row r="176" spans="1:11" s="462" customFormat="1" ht="15.75">
      <c r="A176" s="502">
        <v>8</v>
      </c>
      <c r="B176" s="424" t="s">
        <v>203</v>
      </c>
      <c r="C176" s="424">
        <v>112</v>
      </c>
      <c r="D176" s="424">
        <v>8742637.1199999992</v>
      </c>
      <c r="E176" s="37">
        <f t="shared" si="23"/>
        <v>78059.259999999995</v>
      </c>
      <c r="F176" s="40">
        <f t="shared" si="24"/>
        <v>8742637.1199999992</v>
      </c>
      <c r="G176" s="424">
        <v>109</v>
      </c>
      <c r="H176" s="424">
        <v>8742637.1199999992</v>
      </c>
    </row>
    <row r="177" spans="1:11" s="462" customFormat="1" ht="16.5" customHeight="1">
      <c r="A177" s="502">
        <v>9</v>
      </c>
      <c r="B177" s="424" t="s">
        <v>204</v>
      </c>
      <c r="C177" s="424">
        <v>83</v>
      </c>
      <c r="D177" s="424">
        <v>6382742.3300000001</v>
      </c>
      <c r="E177" s="37">
        <f t="shared" si="23"/>
        <v>76900.509999999995</v>
      </c>
      <c r="F177" s="40">
        <f t="shared" si="24"/>
        <v>6382742.3300000001</v>
      </c>
      <c r="G177" s="424">
        <v>87</v>
      </c>
      <c r="H177" s="424">
        <v>6382742.3300000001</v>
      </c>
    </row>
    <row r="178" spans="1:11" s="462" customFormat="1" ht="15.75">
      <c r="A178" s="502">
        <v>10</v>
      </c>
      <c r="B178" s="424" t="s">
        <v>205</v>
      </c>
      <c r="C178" s="424">
        <v>35</v>
      </c>
      <c r="D178" s="424">
        <v>4736694.9000000004</v>
      </c>
      <c r="E178" s="37">
        <f t="shared" si="23"/>
        <v>135334.14000000001</v>
      </c>
      <c r="F178" s="40">
        <f t="shared" si="24"/>
        <v>4736694.9000000004</v>
      </c>
      <c r="G178" s="424">
        <v>32</v>
      </c>
      <c r="H178" s="424">
        <v>4736694.9000000004</v>
      </c>
    </row>
    <row r="179" spans="1:11" s="462" customFormat="1" ht="16.5" customHeight="1">
      <c r="A179" s="502">
        <v>11</v>
      </c>
      <c r="B179" s="424" t="s">
        <v>206</v>
      </c>
      <c r="C179" s="424">
        <v>136</v>
      </c>
      <c r="D179" s="424">
        <v>9878270.2400000002</v>
      </c>
      <c r="E179" s="37">
        <f t="shared" si="23"/>
        <v>72634.34</v>
      </c>
      <c r="F179" s="40">
        <f t="shared" si="24"/>
        <v>9878270.2400000002</v>
      </c>
      <c r="G179" s="424">
        <v>149</v>
      </c>
      <c r="H179" s="424">
        <v>9878270.2400000002</v>
      </c>
    </row>
    <row r="180" spans="1:11" ht="39" customHeight="1">
      <c r="A180" s="41"/>
      <c r="B180" s="42" t="s">
        <v>115</v>
      </c>
      <c r="C180" s="43">
        <f t="shared" ref="C180:H180" si="25">SUM(C169:C179)</f>
        <v>1207</v>
      </c>
      <c r="D180" s="43">
        <f t="shared" si="25"/>
        <v>85233869.520000011</v>
      </c>
      <c r="E180" s="43">
        <f t="shared" si="25"/>
        <v>961071.25</v>
      </c>
      <c r="F180" s="43">
        <f t="shared" si="25"/>
        <v>85233869.520000011</v>
      </c>
      <c r="G180" s="43">
        <f t="shared" si="25"/>
        <v>1218</v>
      </c>
      <c r="H180" s="43">
        <f t="shared" si="25"/>
        <v>85233869.520000011</v>
      </c>
      <c r="I180" s="36"/>
      <c r="J180" s="36"/>
      <c r="K180" s="36"/>
    </row>
    <row r="181" spans="1:11" ht="15.75" hidden="1">
      <c r="A181" s="44"/>
      <c r="B181" s="44" t="s">
        <v>116</v>
      </c>
      <c r="C181" s="44">
        <f t="shared" ref="C181:H181" si="26">C180+C167</f>
        <v>3302</v>
      </c>
      <c r="D181" s="44">
        <f t="shared" si="26"/>
        <v>159972089.66000003</v>
      </c>
      <c r="E181" s="44">
        <f t="shared" si="26"/>
        <v>961071.25</v>
      </c>
      <c r="F181" s="44">
        <f t="shared" si="26"/>
        <v>85233869.520000011</v>
      </c>
      <c r="G181" s="44">
        <f t="shared" si="26"/>
        <v>3317</v>
      </c>
      <c r="H181" s="44">
        <f t="shared" si="26"/>
        <v>160176843.13000003</v>
      </c>
      <c r="I181" s="36"/>
      <c r="J181" s="1080">
        <f>'Фонды2015-2017'!AJ125</f>
        <v>159972089.66</v>
      </c>
      <c r="K181" s="51">
        <f>J181-D181</f>
        <v>0</v>
      </c>
    </row>
    <row r="182" spans="1:11" ht="15.75" hidden="1">
      <c r="A182" s="36"/>
      <c r="B182" s="1766" t="s">
        <v>207</v>
      </c>
      <c r="C182" s="1766"/>
      <c r="D182" s="1766"/>
      <c r="E182" s="1111"/>
      <c r="F182" s="1111"/>
      <c r="I182" s="36"/>
      <c r="J182" s="36"/>
      <c r="K182" s="36"/>
    </row>
    <row r="183" spans="1:11" ht="45" hidden="1" customHeight="1">
      <c r="A183" s="37"/>
      <c r="B183" s="38" t="s">
        <v>106</v>
      </c>
      <c r="C183" s="37"/>
      <c r="D183" s="37"/>
      <c r="E183" s="37"/>
      <c r="F183" s="37"/>
      <c r="G183" s="37"/>
      <c r="H183" s="37"/>
      <c r="I183" s="36"/>
      <c r="J183" s="36"/>
      <c r="K183" s="36"/>
    </row>
    <row r="184" spans="1:11" ht="45" hidden="1" customHeight="1">
      <c r="A184" s="37">
        <v>1</v>
      </c>
      <c r="B184" s="65" t="s">
        <v>208</v>
      </c>
      <c r="C184" s="744">
        <v>440</v>
      </c>
      <c r="D184" s="744">
        <v>20151948.68</v>
      </c>
      <c r="E184" s="744"/>
      <c r="F184" s="744"/>
      <c r="G184" s="529">
        <v>440</v>
      </c>
      <c r="H184" s="744">
        <v>20726221.850000001</v>
      </c>
      <c r="I184" s="36"/>
      <c r="J184" s="36"/>
      <c r="K184" s="36"/>
    </row>
    <row r="185" spans="1:11" ht="45" hidden="1" customHeight="1">
      <c r="A185" s="37">
        <v>2</v>
      </c>
      <c r="B185" s="66" t="s">
        <v>209</v>
      </c>
      <c r="C185" s="744">
        <v>694</v>
      </c>
      <c r="D185" s="744">
        <v>34805995.119999997</v>
      </c>
      <c r="E185" s="744"/>
      <c r="F185" s="744"/>
      <c r="G185" s="529">
        <v>752</v>
      </c>
      <c r="H185" s="744">
        <v>35422997.600000001</v>
      </c>
      <c r="I185" s="36"/>
      <c r="J185" s="36"/>
      <c r="K185" s="36"/>
    </row>
    <row r="186" spans="1:11" ht="45" hidden="1" customHeight="1">
      <c r="A186" s="37">
        <v>3</v>
      </c>
      <c r="B186" s="65" t="s">
        <v>210</v>
      </c>
      <c r="C186" s="744">
        <v>745</v>
      </c>
      <c r="D186" s="744">
        <v>33969931.960000001</v>
      </c>
      <c r="E186" s="744"/>
      <c r="F186" s="744"/>
      <c r="G186" s="529">
        <v>739</v>
      </c>
      <c r="H186" s="744">
        <v>34810631.200000003</v>
      </c>
      <c r="I186" s="36"/>
      <c r="J186" s="36"/>
      <c r="K186" s="36"/>
    </row>
    <row r="187" spans="1:11" ht="45" hidden="1" customHeight="1">
      <c r="A187" s="37">
        <v>4</v>
      </c>
      <c r="B187" s="67" t="s">
        <v>211</v>
      </c>
      <c r="C187" s="745">
        <v>783</v>
      </c>
      <c r="D187" s="1107">
        <v>36473289.829999998</v>
      </c>
      <c r="E187" s="1107"/>
      <c r="F187" s="1107"/>
      <c r="G187" s="529">
        <v>793</v>
      </c>
      <c r="H187" s="745">
        <v>37354304.649999999</v>
      </c>
      <c r="I187" s="36"/>
      <c r="J187" s="1104" t="s">
        <v>809</v>
      </c>
      <c r="K187" s="36"/>
    </row>
    <row r="188" spans="1:11" ht="45" hidden="1" customHeight="1">
      <c r="A188" s="37"/>
      <c r="B188" s="39" t="s">
        <v>108</v>
      </c>
      <c r="C188" s="57">
        <f>SUM(C184:C187)</f>
        <v>2662</v>
      </c>
      <c r="D188" s="57">
        <f>SUM(D184:D187)-100000</f>
        <v>125301165.58999999</v>
      </c>
      <c r="E188" s="57"/>
      <c r="F188" s="57"/>
      <c r="G188" s="57">
        <f>SUM(G184:G187)</f>
        <v>2724</v>
      </c>
      <c r="H188" s="57">
        <f>SUM(H184:H187)</f>
        <v>128314155.30000001</v>
      </c>
      <c r="I188" s="36"/>
      <c r="J188" s="36"/>
      <c r="K188" s="36"/>
    </row>
    <row r="189" spans="1:11" ht="45" hidden="1">
      <c r="A189" s="37"/>
      <c r="B189" s="38" t="s">
        <v>109</v>
      </c>
      <c r="C189" s="37"/>
      <c r="D189" s="37"/>
      <c r="E189" s="37"/>
      <c r="F189" s="37"/>
      <c r="G189" s="37"/>
      <c r="H189" s="37"/>
      <c r="I189" s="36"/>
      <c r="J189" s="36"/>
      <c r="K189" s="36"/>
    </row>
    <row r="190" spans="1:11" ht="10.15" hidden="1" customHeight="1">
      <c r="A190" s="37"/>
      <c r="B190" s="37"/>
      <c r="C190" s="37"/>
      <c r="D190" s="37"/>
      <c r="E190" s="37"/>
      <c r="F190" s="37"/>
      <c r="G190" s="37"/>
      <c r="H190" s="37"/>
      <c r="I190" s="36"/>
      <c r="J190" s="36"/>
      <c r="K190" s="36"/>
    </row>
    <row r="191" spans="1:11" ht="30.6" hidden="1" customHeight="1">
      <c r="A191" s="41"/>
      <c r="B191" s="42" t="s">
        <v>115</v>
      </c>
      <c r="C191" s="43">
        <f>SUM(C190:C190)</f>
        <v>0</v>
      </c>
      <c r="D191" s="43">
        <f>SUM(D190:D190)</f>
        <v>0</v>
      </c>
      <c r="E191" s="43"/>
      <c r="F191" s="43"/>
      <c r="G191" s="43">
        <f>SUM(G190:G190)</f>
        <v>0</v>
      </c>
      <c r="H191" s="43">
        <f>SUM(H190:H190)</f>
        <v>0</v>
      </c>
      <c r="I191" s="36"/>
      <c r="J191" s="36"/>
      <c r="K191" s="36"/>
    </row>
    <row r="192" spans="1:11" s="45" customFormat="1" ht="15.75" hidden="1">
      <c r="A192" s="44"/>
      <c r="B192" s="44" t="s">
        <v>116</v>
      </c>
      <c r="C192" s="44">
        <f>C191+C188</f>
        <v>2662</v>
      </c>
      <c r="D192" s="44">
        <f>D191+D188</f>
        <v>125301165.58999999</v>
      </c>
      <c r="E192" s="44"/>
      <c r="F192" s="44"/>
      <c r="G192" s="44">
        <f>G191+G188</f>
        <v>2724</v>
      </c>
      <c r="H192" s="44">
        <f>H191+H188</f>
        <v>128314155.30000001</v>
      </c>
      <c r="J192" s="1080">
        <f>'Фонды2015-2017'!AJ134</f>
        <v>125401165.59</v>
      </c>
      <c r="K192" s="51">
        <f>J192-D192</f>
        <v>100000.0000000149</v>
      </c>
    </row>
    <row r="193" spans="1:11" ht="22.9" customHeight="1">
      <c r="A193" s="36"/>
      <c r="B193" s="1765" t="s">
        <v>212</v>
      </c>
      <c r="C193" s="1765"/>
      <c r="D193" s="1765"/>
      <c r="E193" s="1111"/>
      <c r="F193" s="1111"/>
      <c r="I193" s="36"/>
      <c r="J193" s="36"/>
      <c r="K193" s="36"/>
    </row>
    <row r="194" spans="1:11" ht="45">
      <c r="A194" s="37"/>
      <c r="B194" s="38" t="s">
        <v>109</v>
      </c>
      <c r="C194" s="37"/>
      <c r="D194" s="37"/>
      <c r="E194" s="37"/>
      <c r="F194" s="37"/>
      <c r="G194" s="37"/>
      <c r="H194" s="37"/>
      <c r="I194" s="36"/>
      <c r="J194" s="36"/>
      <c r="K194" s="36"/>
    </row>
    <row r="195" spans="1:11" ht="15.75">
      <c r="A195" s="464">
        <v>1</v>
      </c>
      <c r="B195" s="37" t="s">
        <v>213</v>
      </c>
      <c r="C195" s="37">
        <v>283</v>
      </c>
      <c r="D195" s="37">
        <v>17864424.600000001</v>
      </c>
      <c r="E195" s="37">
        <f t="shared" ref="E195:E208" si="27">ROUND(D195/C195,2)</f>
        <v>63125.18</v>
      </c>
      <c r="F195" s="40">
        <f t="shared" ref="F195:F208" si="28">ROUND(E195*C195,2)</f>
        <v>17864425.940000001</v>
      </c>
      <c r="G195" s="37">
        <v>304</v>
      </c>
      <c r="H195" s="37">
        <v>17864424.600000001</v>
      </c>
      <c r="I195" s="36"/>
      <c r="J195" s="36"/>
      <c r="K195" s="36"/>
    </row>
    <row r="196" spans="1:11" ht="15.75">
      <c r="A196" s="464">
        <v>2</v>
      </c>
      <c r="B196" s="37" t="s">
        <v>214</v>
      </c>
      <c r="C196" s="37">
        <v>290</v>
      </c>
      <c r="D196" s="37">
        <v>18750822</v>
      </c>
      <c r="E196" s="37">
        <f t="shared" si="27"/>
        <v>64658.01</v>
      </c>
      <c r="F196" s="40">
        <f t="shared" si="28"/>
        <v>18750822.899999999</v>
      </c>
      <c r="G196" s="37">
        <v>302</v>
      </c>
      <c r="H196" s="37">
        <v>18750822</v>
      </c>
      <c r="I196" s="36"/>
      <c r="J196" s="36"/>
      <c r="K196" s="36"/>
    </row>
    <row r="197" spans="1:11" ht="15.75">
      <c r="A197" s="464">
        <v>3</v>
      </c>
      <c r="B197" s="37" t="s">
        <v>215</v>
      </c>
      <c r="C197" s="37">
        <v>248</v>
      </c>
      <c r="D197" s="37">
        <v>22078842.399999999</v>
      </c>
      <c r="E197" s="37">
        <f t="shared" si="27"/>
        <v>89027.59</v>
      </c>
      <c r="F197" s="40">
        <f t="shared" si="28"/>
        <v>22078842.32</v>
      </c>
      <c r="G197" s="37">
        <v>254</v>
      </c>
      <c r="H197" s="37">
        <v>22078842.399999999</v>
      </c>
      <c r="I197" s="36"/>
      <c r="J197" s="36"/>
      <c r="K197" s="36"/>
    </row>
    <row r="198" spans="1:11" s="755" customFormat="1" ht="15.75">
      <c r="A198" s="754">
        <v>4</v>
      </c>
      <c r="B198" s="489" t="s">
        <v>216</v>
      </c>
      <c r="C198" s="68">
        <v>171</v>
      </c>
      <c r="D198" s="489">
        <v>13539501</v>
      </c>
      <c r="E198" s="37">
        <f t="shared" si="27"/>
        <v>79178.37</v>
      </c>
      <c r="F198" s="40">
        <f t="shared" si="28"/>
        <v>13539501.27</v>
      </c>
      <c r="G198" s="68">
        <v>175</v>
      </c>
      <c r="H198" s="489">
        <v>13645341.800000001</v>
      </c>
    </row>
    <row r="199" spans="1:11" ht="15.75">
      <c r="A199" s="754">
        <v>5</v>
      </c>
      <c r="B199" s="489" t="s">
        <v>217</v>
      </c>
      <c r="C199" s="489">
        <v>158</v>
      </c>
      <c r="D199" s="489">
        <v>14180011.41</v>
      </c>
      <c r="E199" s="37">
        <f t="shared" si="27"/>
        <v>89746.91</v>
      </c>
      <c r="F199" s="40">
        <f t="shared" si="28"/>
        <v>14180011.779999999</v>
      </c>
      <c r="G199" s="489">
        <v>181</v>
      </c>
      <c r="H199" s="489">
        <v>15754199.119999999</v>
      </c>
      <c r="I199" s="36"/>
      <c r="J199" s="36"/>
      <c r="K199" s="36"/>
    </row>
    <row r="200" spans="1:11" s="755" customFormat="1" ht="15.75">
      <c r="A200" s="754">
        <v>6</v>
      </c>
      <c r="B200" s="489" t="s">
        <v>218</v>
      </c>
      <c r="C200" s="68">
        <v>207</v>
      </c>
      <c r="D200" s="489">
        <v>12976327.91</v>
      </c>
      <c r="E200" s="37">
        <f t="shared" si="27"/>
        <v>62687.57</v>
      </c>
      <c r="F200" s="40">
        <f t="shared" si="28"/>
        <v>12976326.99</v>
      </c>
      <c r="G200" s="489">
        <v>215</v>
      </c>
      <c r="H200" s="489">
        <v>13091412.199999999</v>
      </c>
    </row>
    <row r="201" spans="1:11" ht="15.75">
      <c r="A201" s="464">
        <v>7</v>
      </c>
      <c r="B201" s="37" t="s">
        <v>219</v>
      </c>
      <c r="C201" s="68">
        <v>318</v>
      </c>
      <c r="D201" s="37">
        <v>22860656.399999999</v>
      </c>
      <c r="E201" s="37">
        <f t="shared" si="27"/>
        <v>71888.86</v>
      </c>
      <c r="F201" s="40">
        <f t="shared" si="28"/>
        <v>22860657.48</v>
      </c>
      <c r="G201" s="37">
        <v>335</v>
      </c>
      <c r="H201" s="37">
        <v>22860656.399999999</v>
      </c>
      <c r="I201" s="36"/>
      <c r="J201" s="36"/>
      <c r="K201" s="36"/>
    </row>
    <row r="202" spans="1:11" ht="15.75">
      <c r="A202" s="754">
        <v>8</v>
      </c>
      <c r="B202" s="489" t="s">
        <v>220</v>
      </c>
      <c r="C202" s="489">
        <v>462</v>
      </c>
      <c r="D202" s="489">
        <v>35072399.810000002</v>
      </c>
      <c r="E202" s="37">
        <f t="shared" si="27"/>
        <v>75914.289999999994</v>
      </c>
      <c r="F202" s="40">
        <f t="shared" si="28"/>
        <v>35072401.979999997</v>
      </c>
      <c r="G202" s="489">
        <v>491</v>
      </c>
      <c r="H202" s="489">
        <v>36412711.799999997</v>
      </c>
      <c r="I202" s="36"/>
      <c r="J202" s="36"/>
      <c r="K202" s="36"/>
    </row>
    <row r="203" spans="1:11" s="755" customFormat="1" ht="15.75">
      <c r="A203" s="754">
        <v>9</v>
      </c>
      <c r="B203" s="489" t="s">
        <v>221</v>
      </c>
      <c r="C203" s="68">
        <v>459</v>
      </c>
      <c r="D203" s="489">
        <v>27742043.800000001</v>
      </c>
      <c r="E203" s="37">
        <f t="shared" si="27"/>
        <v>60440.18</v>
      </c>
      <c r="F203" s="40">
        <f t="shared" si="28"/>
        <v>27742042.620000001</v>
      </c>
      <c r="G203" s="489">
        <v>471</v>
      </c>
      <c r="H203" s="489">
        <v>28010572.800000001</v>
      </c>
    </row>
    <row r="204" spans="1:11" ht="15.75">
      <c r="A204" s="464">
        <v>10</v>
      </c>
      <c r="B204" s="37" t="s">
        <v>222</v>
      </c>
      <c r="C204" s="68">
        <v>450</v>
      </c>
      <c r="D204" s="37">
        <v>31784206.800000001</v>
      </c>
      <c r="E204" s="37">
        <f t="shared" si="27"/>
        <v>70631.570000000007</v>
      </c>
      <c r="F204" s="40">
        <f t="shared" si="28"/>
        <v>31784206.5</v>
      </c>
      <c r="G204" s="37">
        <v>471</v>
      </c>
      <c r="H204" s="37">
        <v>31784206.800000001</v>
      </c>
      <c r="I204" s="36"/>
      <c r="J204" s="36"/>
      <c r="K204" s="36"/>
    </row>
    <row r="205" spans="1:11" ht="15.75">
      <c r="A205" s="464">
        <v>11</v>
      </c>
      <c r="B205" s="37" t="s">
        <v>223</v>
      </c>
      <c r="C205" s="68">
        <v>404</v>
      </c>
      <c r="D205" s="37">
        <v>29700895.199999999</v>
      </c>
      <c r="E205" s="37">
        <f t="shared" si="27"/>
        <v>73517.070000000007</v>
      </c>
      <c r="F205" s="40">
        <f t="shared" si="28"/>
        <v>29700896.280000001</v>
      </c>
      <c r="G205" s="37">
        <v>425</v>
      </c>
      <c r="H205" s="37">
        <v>29700895.199999999</v>
      </c>
      <c r="I205" s="36"/>
      <c r="J205" s="36"/>
      <c r="K205" s="36"/>
    </row>
    <row r="206" spans="1:11" s="755" customFormat="1" ht="15.75">
      <c r="A206" s="754">
        <v>12</v>
      </c>
      <c r="B206" s="489" t="s">
        <v>224</v>
      </c>
      <c r="C206" s="68">
        <v>442</v>
      </c>
      <c r="D206" s="489">
        <v>24060393.5</v>
      </c>
      <c r="E206" s="37">
        <f t="shared" si="27"/>
        <v>54435.28</v>
      </c>
      <c r="F206" s="40">
        <f t="shared" si="28"/>
        <v>24060393.760000002</v>
      </c>
      <c r="G206" s="489">
        <v>467</v>
      </c>
      <c r="H206" s="489">
        <v>24328923.800000001</v>
      </c>
    </row>
    <row r="207" spans="1:11" ht="15.75">
      <c r="A207" s="464">
        <v>13</v>
      </c>
      <c r="B207" s="37" t="s">
        <v>225</v>
      </c>
      <c r="C207" s="37">
        <v>264</v>
      </c>
      <c r="D207" s="37">
        <v>17601052.399999999</v>
      </c>
      <c r="E207" s="37">
        <f t="shared" si="27"/>
        <v>66670.649999999994</v>
      </c>
      <c r="F207" s="40">
        <f t="shared" si="28"/>
        <v>17601051.600000001</v>
      </c>
      <c r="G207" s="37">
        <v>273</v>
      </c>
      <c r="H207" s="37">
        <v>17601052.399999999</v>
      </c>
      <c r="I207" s="36"/>
      <c r="J207" s="36"/>
      <c r="K207" s="36"/>
    </row>
    <row r="208" spans="1:11" ht="25.9" customHeight="1">
      <c r="A208" s="464">
        <v>14</v>
      </c>
      <c r="B208" s="37" t="s">
        <v>226</v>
      </c>
      <c r="C208" s="37">
        <v>125</v>
      </c>
      <c r="D208" s="37">
        <v>2016814.2</v>
      </c>
      <c r="E208" s="37">
        <f t="shared" si="27"/>
        <v>16134.51</v>
      </c>
      <c r="F208" s="40">
        <f t="shared" si="28"/>
        <v>2016813.75</v>
      </c>
      <c r="G208" s="37">
        <v>125</v>
      </c>
      <c r="H208" s="37">
        <v>2016814.2</v>
      </c>
      <c r="I208" s="36"/>
      <c r="J208" s="36"/>
      <c r="K208" s="36"/>
    </row>
    <row r="209" spans="1:11" ht="36.6" customHeight="1">
      <c r="A209" s="41"/>
      <c r="B209" s="42" t="s">
        <v>115</v>
      </c>
      <c r="C209" s="43">
        <f t="shared" ref="C209:H209" si="29">SUM(C195:C208)</f>
        <v>4281</v>
      </c>
      <c r="D209" s="43">
        <f t="shared" si="29"/>
        <v>290228391.43000001</v>
      </c>
      <c r="E209" s="43">
        <f t="shared" si="29"/>
        <v>938056.04000000015</v>
      </c>
      <c r="F209" s="43">
        <f t="shared" si="29"/>
        <v>290228395.17000002</v>
      </c>
      <c r="G209" s="43">
        <f t="shared" si="29"/>
        <v>4489</v>
      </c>
      <c r="H209" s="43">
        <f t="shared" si="29"/>
        <v>293900875.51999998</v>
      </c>
      <c r="I209" s="36"/>
      <c r="J209" s="36"/>
      <c r="K209" s="36"/>
    </row>
    <row r="210" spans="1:11" s="45" customFormat="1" ht="15.75" hidden="1">
      <c r="A210" s="44"/>
      <c r="B210" s="44" t="s">
        <v>116</v>
      </c>
      <c r="C210" s="44">
        <f t="shared" ref="C210:H210" si="30">C209+C193</f>
        <v>4281</v>
      </c>
      <c r="D210" s="44">
        <f t="shared" si="30"/>
        <v>290228391.43000001</v>
      </c>
      <c r="E210" s="44">
        <f t="shared" si="30"/>
        <v>938056.04000000015</v>
      </c>
      <c r="F210" s="44">
        <f t="shared" si="30"/>
        <v>290228395.17000002</v>
      </c>
      <c r="G210" s="44">
        <f t="shared" si="30"/>
        <v>4489</v>
      </c>
      <c r="H210" s="44">
        <f t="shared" si="30"/>
        <v>293900875.51999998</v>
      </c>
      <c r="J210" s="1080">
        <f>'Фонды2015-2017'!AJ143</f>
        <v>290228391.43000001</v>
      </c>
      <c r="K210" s="51">
        <f>J210-D210</f>
        <v>0</v>
      </c>
    </row>
    <row r="211" spans="1:11" ht="23.45" customHeight="1">
      <c r="A211" s="36"/>
      <c r="B211" s="1766" t="s">
        <v>227</v>
      </c>
      <c r="C211" s="1766"/>
      <c r="D211" s="1766"/>
      <c r="E211" s="1111"/>
      <c r="F211" s="1111"/>
      <c r="I211" s="36"/>
      <c r="J211" s="36"/>
      <c r="K211" s="36"/>
    </row>
    <row r="212" spans="1:11" ht="21" hidden="1" customHeight="1">
      <c r="A212" s="424"/>
      <c r="B212" s="424" t="s">
        <v>106</v>
      </c>
      <c r="C212" s="424"/>
      <c r="D212" s="424"/>
      <c r="E212" s="424"/>
      <c r="F212" s="424"/>
      <c r="G212" s="424"/>
      <c r="H212" s="424"/>
      <c r="I212" s="36"/>
      <c r="J212" s="36"/>
      <c r="K212" s="36"/>
    </row>
    <row r="213" spans="1:11" ht="32.450000000000003" hidden="1" customHeight="1">
      <c r="A213" s="424">
        <v>1</v>
      </c>
      <c r="B213" s="424" t="s">
        <v>228</v>
      </c>
      <c r="C213" s="424">
        <v>695</v>
      </c>
      <c r="D213" s="79">
        <f>39540558-291639.13</f>
        <v>39248918.869999997</v>
      </c>
      <c r="E213" s="79"/>
      <c r="F213" s="79"/>
      <c r="G213" s="424">
        <v>700</v>
      </c>
      <c r="H213" s="424">
        <v>39540558</v>
      </c>
      <c r="I213" s="36"/>
      <c r="J213" s="36"/>
      <c r="K213" s="36"/>
    </row>
    <row r="214" spans="1:11" ht="38.450000000000003" hidden="1" customHeight="1">
      <c r="A214" s="424"/>
      <c r="B214" s="424" t="s">
        <v>108</v>
      </c>
      <c r="C214" s="424">
        <f>SUM(C213:C213)</f>
        <v>695</v>
      </c>
      <c r="D214" s="424">
        <f>SUM(D213:D213)</f>
        <v>39248918.869999997</v>
      </c>
      <c r="E214" s="424"/>
      <c r="F214" s="424"/>
      <c r="G214" s="424">
        <f>SUM(G213:G213)</f>
        <v>700</v>
      </c>
      <c r="H214" s="424">
        <f>SUM(H213:H213)</f>
        <v>39540558</v>
      </c>
      <c r="I214" s="36"/>
      <c r="J214" s="36"/>
      <c r="K214" s="36"/>
    </row>
    <row r="215" spans="1:11" ht="22.9" customHeight="1">
      <c r="A215" s="424"/>
      <c r="B215" s="38" t="s">
        <v>109</v>
      </c>
      <c r="C215" s="424"/>
      <c r="D215" s="424"/>
      <c r="E215" s="424"/>
      <c r="F215" s="424"/>
      <c r="G215" s="424"/>
      <c r="H215" s="424"/>
      <c r="I215" s="36"/>
      <c r="J215" s="36"/>
      <c r="K215" s="36"/>
    </row>
    <row r="216" spans="1:11" ht="26.45" customHeight="1">
      <c r="A216" s="424">
        <v>1</v>
      </c>
      <c r="B216" s="424" t="s">
        <v>229</v>
      </c>
      <c r="C216" s="424">
        <v>103</v>
      </c>
      <c r="D216" s="424">
        <v>10067837.83</v>
      </c>
      <c r="E216" s="37">
        <f>ROUND(D216/C216,2)</f>
        <v>97746</v>
      </c>
      <c r="F216" s="40">
        <f>ROUND(E216*C216,2)</f>
        <v>10067838</v>
      </c>
      <c r="G216" s="424">
        <v>113</v>
      </c>
      <c r="H216" s="424">
        <v>11045298</v>
      </c>
      <c r="I216" s="36"/>
      <c r="J216" s="36"/>
      <c r="K216" s="36"/>
    </row>
    <row r="217" spans="1:11" ht="28.9" customHeight="1">
      <c r="A217" s="424">
        <v>2</v>
      </c>
      <c r="B217" s="424" t="s">
        <v>230</v>
      </c>
      <c r="C217" s="38">
        <v>72</v>
      </c>
      <c r="D217" s="424">
        <f>8003678.81-0.72</f>
        <v>8003678.0899999999</v>
      </c>
      <c r="E217" s="37">
        <f>ROUND(D217/C217,2)</f>
        <v>111162.2</v>
      </c>
      <c r="F217" s="40">
        <f>ROUND(E217*C217,2)</f>
        <v>8003678.4000000004</v>
      </c>
      <c r="G217" s="424">
        <v>81</v>
      </c>
      <c r="H217" s="424">
        <v>9004139.0099999998</v>
      </c>
      <c r="I217" s="36"/>
      <c r="J217" s="36"/>
      <c r="K217" s="36"/>
    </row>
    <row r="218" spans="1:11" ht="30.6" customHeight="1">
      <c r="A218" s="41"/>
      <c r="B218" s="42" t="s">
        <v>115</v>
      </c>
      <c r="C218" s="43">
        <f t="shared" ref="C218:H218" si="31">SUM(C216:C217)</f>
        <v>175</v>
      </c>
      <c r="D218" s="43">
        <f t="shared" si="31"/>
        <v>18071515.920000002</v>
      </c>
      <c r="E218" s="43">
        <f t="shared" si="31"/>
        <v>208908.2</v>
      </c>
      <c r="F218" s="43">
        <f t="shared" si="31"/>
        <v>18071516.399999999</v>
      </c>
      <c r="G218" s="43">
        <f t="shared" si="31"/>
        <v>194</v>
      </c>
      <c r="H218" s="43">
        <f t="shared" si="31"/>
        <v>20049437.009999998</v>
      </c>
      <c r="I218" s="36"/>
      <c r="J218" s="36"/>
      <c r="K218" s="36"/>
    </row>
    <row r="219" spans="1:11" s="45" customFormat="1" ht="19.899999999999999" hidden="1" customHeight="1">
      <c r="A219" s="44"/>
      <c r="B219" s="44" t="s">
        <v>116</v>
      </c>
      <c r="C219" s="44">
        <f t="shared" ref="C219:H219" si="32">C218+C214</f>
        <v>870</v>
      </c>
      <c r="D219" s="44">
        <f t="shared" si="32"/>
        <v>57320434.789999999</v>
      </c>
      <c r="E219" s="44">
        <f t="shared" si="32"/>
        <v>208908.2</v>
      </c>
      <c r="F219" s="44">
        <f t="shared" si="32"/>
        <v>18071516.399999999</v>
      </c>
      <c r="G219" s="44">
        <f t="shared" si="32"/>
        <v>894</v>
      </c>
      <c r="H219" s="44">
        <f t="shared" si="32"/>
        <v>59589995.009999998</v>
      </c>
      <c r="J219" s="1080">
        <f>'Фонды2015-2017'!AJ152</f>
        <v>57320435.509999998</v>
      </c>
      <c r="K219" s="51">
        <f>J219-D219</f>
        <v>0.7199999988079071</v>
      </c>
    </row>
    <row r="220" spans="1:11" ht="22.15" customHeight="1">
      <c r="A220" s="36"/>
      <c r="B220" s="1766" t="s">
        <v>231</v>
      </c>
      <c r="C220" s="1766"/>
      <c r="D220" s="1766"/>
      <c r="E220" s="1111"/>
      <c r="F220" s="1111"/>
      <c r="I220" s="36"/>
      <c r="J220" s="36"/>
      <c r="K220" s="36"/>
    </row>
    <row r="221" spans="1:11" ht="54.75" hidden="1" customHeight="1">
      <c r="A221" s="37"/>
      <c r="B221" s="38" t="s">
        <v>106</v>
      </c>
      <c r="C221" s="499"/>
      <c r="D221" s="506"/>
      <c r="E221" s="506"/>
      <c r="F221" s="506"/>
      <c r="G221" s="499"/>
      <c r="H221" s="506"/>
      <c r="I221" s="36"/>
      <c r="J221" s="36"/>
      <c r="K221" s="36"/>
    </row>
    <row r="222" spans="1:11" ht="22.15" hidden="1" customHeight="1">
      <c r="A222" s="37">
        <v>1</v>
      </c>
      <c r="B222" s="69" t="s">
        <v>232</v>
      </c>
      <c r="C222" s="499">
        <v>775</v>
      </c>
      <c r="D222" s="499">
        <v>33340651.5</v>
      </c>
      <c r="E222" s="499"/>
      <c r="F222" s="499"/>
      <c r="G222" s="499">
        <v>751</v>
      </c>
      <c r="H222" s="499">
        <v>33340651.5</v>
      </c>
      <c r="I222" s="36"/>
      <c r="J222" s="36"/>
      <c r="K222" s="36"/>
    </row>
    <row r="223" spans="1:11" ht="22.15" hidden="1" customHeight="1">
      <c r="A223" s="37"/>
      <c r="B223" s="37"/>
      <c r="C223" s="499"/>
      <c r="D223" s="499"/>
      <c r="E223" s="499"/>
      <c r="F223" s="499"/>
      <c r="G223" s="499"/>
      <c r="H223" s="499"/>
      <c r="I223" s="36"/>
      <c r="J223" s="36"/>
      <c r="K223" s="36"/>
    </row>
    <row r="224" spans="1:11" ht="28.5" hidden="1" customHeight="1">
      <c r="A224" s="37"/>
      <c r="B224" s="39" t="s">
        <v>108</v>
      </c>
      <c r="C224" s="40">
        <f>SUM(C222:C223)</f>
        <v>775</v>
      </c>
      <c r="D224" s="466">
        <f>SUM(D222:D223)</f>
        <v>33340651.5</v>
      </c>
      <c r="E224" s="466"/>
      <c r="F224" s="466"/>
      <c r="G224" s="466">
        <f>SUM(G222:G223)</f>
        <v>751</v>
      </c>
      <c r="H224" s="466">
        <f>SUM(H222:H223)</f>
        <v>33340651.5</v>
      </c>
      <c r="I224" s="36"/>
      <c r="J224" s="36"/>
      <c r="K224" s="36"/>
    </row>
    <row r="225" spans="1:11" ht="45">
      <c r="A225" s="37"/>
      <c r="B225" s="38" t="s">
        <v>109</v>
      </c>
      <c r="C225" s="37"/>
      <c r="D225" s="424"/>
      <c r="E225" s="424"/>
      <c r="F225" s="424"/>
      <c r="G225" s="424"/>
      <c r="H225" s="424"/>
      <c r="I225" s="36"/>
      <c r="J225" s="36"/>
      <c r="K225" s="36"/>
    </row>
    <row r="226" spans="1:11" ht="15.75">
      <c r="A226" s="464">
        <v>1</v>
      </c>
      <c r="B226" s="70" t="s">
        <v>233</v>
      </c>
      <c r="C226" s="38">
        <v>64</v>
      </c>
      <c r="D226" s="38">
        <f>7790451.89+0.64</f>
        <v>7790452.5299999993</v>
      </c>
      <c r="E226" s="37">
        <f t="shared" ref="E226:E232" si="33">ROUND(D226/C226,2)</f>
        <v>121725.82</v>
      </c>
      <c r="F226" s="40">
        <f t="shared" ref="F226:F232" si="34">ROUND(E226*C226,2)</f>
        <v>7790452.4800000004</v>
      </c>
      <c r="G226" s="424">
        <v>62</v>
      </c>
      <c r="H226" s="424">
        <v>7790451.8899999997</v>
      </c>
      <c r="I226" s="36"/>
      <c r="J226" s="36"/>
      <c r="K226" s="36"/>
    </row>
    <row r="227" spans="1:11" ht="15.75">
      <c r="A227" s="464">
        <v>2</v>
      </c>
      <c r="B227" s="70" t="s">
        <v>234</v>
      </c>
      <c r="C227" s="37">
        <v>137</v>
      </c>
      <c r="D227" s="424">
        <v>13586546.66</v>
      </c>
      <c r="E227" s="37">
        <f t="shared" si="33"/>
        <v>99171.87</v>
      </c>
      <c r="F227" s="40">
        <f t="shared" si="34"/>
        <v>13586546.189999999</v>
      </c>
      <c r="G227" s="424">
        <v>132</v>
      </c>
      <c r="H227" s="424">
        <v>13586546.66</v>
      </c>
      <c r="I227" s="36"/>
      <c r="J227" s="36"/>
      <c r="K227" s="36"/>
    </row>
    <row r="228" spans="1:11" ht="31.5">
      <c r="A228" s="464">
        <v>3</v>
      </c>
      <c r="B228" s="70" t="s">
        <v>235</v>
      </c>
      <c r="C228" s="37">
        <v>86</v>
      </c>
      <c r="D228" s="424">
        <v>9797051.6999999993</v>
      </c>
      <c r="E228" s="37">
        <f t="shared" si="33"/>
        <v>113919.21</v>
      </c>
      <c r="F228" s="40">
        <f t="shared" si="34"/>
        <v>9797052.0600000005</v>
      </c>
      <c r="G228" s="424">
        <v>83</v>
      </c>
      <c r="H228" s="424">
        <v>9797051.6999999993</v>
      </c>
      <c r="I228" s="36"/>
      <c r="J228" s="36"/>
      <c r="K228" s="36"/>
    </row>
    <row r="229" spans="1:11" ht="15.75">
      <c r="A229" s="464">
        <v>4</v>
      </c>
      <c r="B229" s="70" t="s">
        <v>236</v>
      </c>
      <c r="C229" s="37">
        <v>244</v>
      </c>
      <c r="D229" s="424">
        <v>18781719.5</v>
      </c>
      <c r="E229" s="37">
        <f t="shared" si="33"/>
        <v>76974.259999999995</v>
      </c>
      <c r="F229" s="40">
        <f t="shared" si="34"/>
        <v>18781719.440000001</v>
      </c>
      <c r="G229" s="424">
        <v>243</v>
      </c>
      <c r="H229" s="424">
        <v>18781719.5</v>
      </c>
      <c r="I229" s="36"/>
      <c r="J229" s="36"/>
      <c r="K229" s="36"/>
    </row>
    <row r="230" spans="1:11" ht="15.75">
      <c r="A230" s="464">
        <v>5</v>
      </c>
      <c r="B230" s="70" t="s">
        <v>237</v>
      </c>
      <c r="C230" s="37">
        <v>129</v>
      </c>
      <c r="D230" s="424">
        <v>13084012.83</v>
      </c>
      <c r="E230" s="37">
        <f t="shared" si="33"/>
        <v>101426.46</v>
      </c>
      <c r="F230" s="40">
        <f t="shared" si="34"/>
        <v>13084013.34</v>
      </c>
      <c r="G230" s="424">
        <v>119</v>
      </c>
      <c r="H230" s="424">
        <v>14314401.15</v>
      </c>
      <c r="I230" s="36"/>
      <c r="J230" s="36"/>
      <c r="K230" s="36"/>
    </row>
    <row r="231" spans="1:11" ht="15.75">
      <c r="A231" s="464">
        <v>6</v>
      </c>
      <c r="B231" s="70" t="s">
        <v>238</v>
      </c>
      <c r="C231" s="37">
        <v>101</v>
      </c>
      <c r="D231" s="424">
        <v>10012421</v>
      </c>
      <c r="E231" s="37">
        <f t="shared" si="33"/>
        <v>99132.88</v>
      </c>
      <c r="F231" s="40">
        <f t="shared" si="34"/>
        <v>10012420.880000001</v>
      </c>
      <c r="G231" s="424">
        <v>97</v>
      </c>
      <c r="H231" s="424">
        <v>10012421</v>
      </c>
      <c r="I231" s="36"/>
      <c r="J231" s="36"/>
      <c r="K231" s="36"/>
    </row>
    <row r="232" spans="1:11" ht="15.75">
      <c r="A232" s="464">
        <v>7</v>
      </c>
      <c r="B232" s="70" t="s">
        <v>239</v>
      </c>
      <c r="C232" s="37">
        <v>72</v>
      </c>
      <c r="D232" s="424">
        <v>7002817.5</v>
      </c>
      <c r="E232" s="37">
        <f t="shared" si="33"/>
        <v>97261.35</v>
      </c>
      <c r="F232" s="40">
        <f t="shared" si="34"/>
        <v>7002817.2000000002</v>
      </c>
      <c r="G232" s="424">
        <v>69</v>
      </c>
      <c r="H232" s="424">
        <v>7002817.5</v>
      </c>
      <c r="I232" s="36"/>
      <c r="J232" s="36"/>
      <c r="K232" s="36"/>
    </row>
    <row r="233" spans="1:11" ht="25.15" customHeight="1">
      <c r="A233" s="37"/>
      <c r="B233" s="37"/>
      <c r="C233" s="37"/>
      <c r="D233" s="37"/>
      <c r="E233" s="37"/>
      <c r="F233" s="37"/>
      <c r="G233" s="37"/>
      <c r="H233" s="37"/>
      <c r="I233" s="36"/>
      <c r="J233" s="36"/>
      <c r="K233" s="36"/>
    </row>
    <row r="234" spans="1:11" ht="28.9" customHeight="1">
      <c r="A234" s="41"/>
      <c r="B234" s="42" t="s">
        <v>115</v>
      </c>
      <c r="C234" s="43">
        <f t="shared" ref="C234:H234" si="35">SUM(C226:C233)</f>
        <v>833</v>
      </c>
      <c r="D234" s="43">
        <f t="shared" si="35"/>
        <v>80055021.719999999</v>
      </c>
      <c r="E234" s="43">
        <f t="shared" si="35"/>
        <v>709611.85</v>
      </c>
      <c r="F234" s="43">
        <f t="shared" si="35"/>
        <v>80055021.590000004</v>
      </c>
      <c r="G234" s="43">
        <f t="shared" si="35"/>
        <v>805</v>
      </c>
      <c r="H234" s="43">
        <f t="shared" si="35"/>
        <v>81285409.400000006</v>
      </c>
      <c r="I234" s="36"/>
      <c r="J234" s="36"/>
      <c r="K234" s="36"/>
    </row>
    <row r="235" spans="1:11" s="45" customFormat="1" ht="15.75" hidden="1">
      <c r="A235" s="44"/>
      <c r="B235" s="44" t="s">
        <v>116</v>
      </c>
      <c r="C235" s="44">
        <f t="shared" ref="C235:H235" si="36">C234+C224</f>
        <v>1608</v>
      </c>
      <c r="D235" s="44">
        <f t="shared" si="36"/>
        <v>113395673.22</v>
      </c>
      <c r="E235" s="44">
        <f t="shared" si="36"/>
        <v>709611.85</v>
      </c>
      <c r="F235" s="44">
        <f t="shared" si="36"/>
        <v>80055021.590000004</v>
      </c>
      <c r="G235" s="44">
        <f t="shared" si="36"/>
        <v>1556</v>
      </c>
      <c r="H235" s="44">
        <f t="shared" si="36"/>
        <v>114626060.90000001</v>
      </c>
      <c r="J235" s="1080">
        <f>'Фонды2015-2017'!AJ161</f>
        <v>113395672.58</v>
      </c>
      <c r="K235" s="51">
        <f>J235-D235</f>
        <v>-0.64000000059604645</v>
      </c>
    </row>
    <row r="236" spans="1:11" s="485" customFormat="1" ht="28.15" customHeight="1">
      <c r="B236" s="1770" t="s">
        <v>240</v>
      </c>
      <c r="C236" s="1770"/>
      <c r="D236" s="1770"/>
      <c r="E236" s="1110"/>
      <c r="F236" s="1110"/>
    </row>
    <row r="237" spans="1:11" s="485" customFormat="1" ht="22.9" customHeight="1">
      <c r="A237" s="486"/>
      <c r="B237" s="503" t="s">
        <v>109</v>
      </c>
      <c r="C237" s="486"/>
      <c r="D237" s="486"/>
      <c r="E237" s="486"/>
      <c r="F237" s="486"/>
      <c r="G237" s="486"/>
      <c r="H237" s="486"/>
    </row>
    <row r="238" spans="1:11" s="485" customFormat="1" ht="25.9" customHeight="1">
      <c r="A238" s="487">
        <v>1</v>
      </c>
      <c r="B238" s="504" t="s">
        <v>685</v>
      </c>
      <c r="C238" s="486">
        <v>77</v>
      </c>
      <c r="D238" s="496">
        <f>6306115.68</f>
        <v>6306115.6799999997</v>
      </c>
      <c r="E238" s="37">
        <f t="shared" ref="E238:E247" si="37">ROUND(D238/C238,2)</f>
        <v>81897.61</v>
      </c>
      <c r="F238" s="40">
        <f t="shared" ref="F238:F247" si="38">ROUND(E238*C238,2)</f>
        <v>6306115.9699999997</v>
      </c>
      <c r="G238" s="48">
        <v>77</v>
      </c>
      <c r="H238" s="496">
        <v>6396115.6799999997</v>
      </c>
    </row>
    <row r="239" spans="1:11" s="485" customFormat="1" ht="33.6" customHeight="1">
      <c r="A239" s="487">
        <v>2</v>
      </c>
      <c r="B239" s="504" t="s">
        <v>686</v>
      </c>
      <c r="C239" s="486">
        <v>115</v>
      </c>
      <c r="D239" s="496">
        <f>8831286.78</f>
        <v>8831286.7799999993</v>
      </c>
      <c r="E239" s="37">
        <f t="shared" si="37"/>
        <v>76793.8</v>
      </c>
      <c r="F239" s="40">
        <f t="shared" si="38"/>
        <v>8831287</v>
      </c>
      <c r="G239" s="48">
        <v>107</v>
      </c>
      <c r="H239" s="496">
        <v>8931286.7799999993</v>
      </c>
    </row>
    <row r="240" spans="1:11" s="485" customFormat="1" ht="27" customHeight="1">
      <c r="A240" s="487">
        <v>3</v>
      </c>
      <c r="B240" s="504" t="s">
        <v>687</v>
      </c>
      <c r="C240" s="486">
        <v>24</v>
      </c>
      <c r="D240" s="496">
        <f>4223468.04</f>
        <v>4223468.04</v>
      </c>
      <c r="E240" s="37">
        <f t="shared" si="37"/>
        <v>175977.84</v>
      </c>
      <c r="F240" s="40">
        <f t="shared" si="38"/>
        <v>4223468.16</v>
      </c>
      <c r="G240" s="774">
        <v>27</v>
      </c>
      <c r="H240" s="496">
        <v>4223468.04</v>
      </c>
    </row>
    <row r="241" spans="1:11" s="485" customFormat="1" ht="33" customHeight="1">
      <c r="A241" s="487">
        <v>4</v>
      </c>
      <c r="B241" s="504" t="s">
        <v>688</v>
      </c>
      <c r="C241" s="486">
        <v>193</v>
      </c>
      <c r="D241" s="496">
        <f>11200569.54</f>
        <v>11200569.539999999</v>
      </c>
      <c r="E241" s="37">
        <f t="shared" si="37"/>
        <v>58034.04</v>
      </c>
      <c r="F241" s="40">
        <f t="shared" si="38"/>
        <v>11200569.720000001</v>
      </c>
      <c r="G241" s="48">
        <v>196</v>
      </c>
      <c r="H241" s="775">
        <v>11300569.539999999</v>
      </c>
      <c r="J241" s="1103" t="s">
        <v>810</v>
      </c>
    </row>
    <row r="242" spans="1:11" s="485" customFormat="1" ht="39.75" customHeight="1">
      <c r="A242" s="487">
        <v>5</v>
      </c>
      <c r="B242" s="504" t="s">
        <v>689</v>
      </c>
      <c r="C242" s="1198">
        <v>44</v>
      </c>
      <c r="D242" s="496">
        <f>5893700.17</f>
        <v>5893700.1699999999</v>
      </c>
      <c r="E242" s="37">
        <f t="shared" si="37"/>
        <v>133947.73000000001</v>
      </c>
      <c r="F242" s="40">
        <f t="shared" si="38"/>
        <v>5893700.1200000001</v>
      </c>
      <c r="G242" s="48">
        <v>47</v>
      </c>
      <c r="H242" s="496">
        <v>5993700.1699999999</v>
      </c>
    </row>
    <row r="243" spans="1:11" s="485" customFormat="1" ht="34.9" customHeight="1">
      <c r="A243" s="487">
        <v>6</v>
      </c>
      <c r="B243" s="504" t="s">
        <v>690</v>
      </c>
      <c r="C243" s="486">
        <v>92</v>
      </c>
      <c r="D243" s="496">
        <v>14301786.1</v>
      </c>
      <c r="E243" s="37">
        <f t="shared" si="37"/>
        <v>155454.20000000001</v>
      </c>
      <c r="F243" s="40">
        <f t="shared" si="38"/>
        <v>14301786.4</v>
      </c>
      <c r="G243" s="48">
        <v>102</v>
      </c>
      <c r="H243" s="486">
        <v>14411133.970000001</v>
      </c>
    </row>
    <row r="244" spans="1:11" s="485" customFormat="1" ht="25.9" customHeight="1">
      <c r="A244" s="487">
        <v>7</v>
      </c>
      <c r="B244" s="504" t="s">
        <v>691</v>
      </c>
      <c r="C244" s="486">
        <v>141</v>
      </c>
      <c r="D244" s="496">
        <f>11601081.7</f>
        <v>11601081.699999999</v>
      </c>
      <c r="E244" s="37">
        <f t="shared" si="37"/>
        <v>82277.179999999993</v>
      </c>
      <c r="F244" s="40">
        <f t="shared" si="38"/>
        <v>11601082.380000001</v>
      </c>
      <c r="G244" s="48">
        <v>159</v>
      </c>
      <c r="H244" s="486">
        <v>12939494</v>
      </c>
    </row>
    <row r="245" spans="1:11" s="485" customFormat="1" ht="39" customHeight="1">
      <c r="A245" s="487">
        <v>8</v>
      </c>
      <c r="B245" s="504" t="s">
        <v>692</v>
      </c>
      <c r="C245" s="486">
        <v>147</v>
      </c>
      <c r="D245" s="496">
        <f>17531782.4</f>
        <v>17531782.399999999</v>
      </c>
      <c r="E245" s="37">
        <f t="shared" si="37"/>
        <v>119263.83</v>
      </c>
      <c r="F245" s="40">
        <f t="shared" si="38"/>
        <v>17531783.010000002</v>
      </c>
      <c r="G245" s="776">
        <v>165</v>
      </c>
      <c r="H245" s="777">
        <v>19936427</v>
      </c>
    </row>
    <row r="246" spans="1:11" s="485" customFormat="1" ht="39" customHeight="1">
      <c r="A246" s="487">
        <v>9</v>
      </c>
      <c r="B246" s="504" t="s">
        <v>693</v>
      </c>
      <c r="C246" s="486">
        <v>131</v>
      </c>
      <c r="D246" s="496">
        <f>16816124.39</f>
        <v>16816124.390000001</v>
      </c>
      <c r="E246" s="37">
        <f t="shared" si="37"/>
        <v>128367.36</v>
      </c>
      <c r="F246" s="40">
        <f t="shared" si="38"/>
        <v>16816124.16</v>
      </c>
      <c r="G246" s="48">
        <v>130</v>
      </c>
      <c r="H246" s="496">
        <v>17063496.120000001</v>
      </c>
    </row>
    <row r="247" spans="1:11" s="485" customFormat="1" ht="39.75" customHeight="1">
      <c r="A247" s="487">
        <v>10</v>
      </c>
      <c r="B247" s="504" t="s">
        <v>694</v>
      </c>
      <c r="C247" s="486">
        <v>187</v>
      </c>
      <c r="D247" s="775">
        <f>18453095.37</f>
        <v>18453095.370000001</v>
      </c>
      <c r="E247" s="37">
        <f t="shared" si="37"/>
        <v>98679.65</v>
      </c>
      <c r="F247" s="40">
        <f t="shared" si="38"/>
        <v>18453094.550000001</v>
      </c>
      <c r="G247" s="48">
        <v>217</v>
      </c>
      <c r="H247" s="777">
        <v>20719563.899999999</v>
      </c>
    </row>
    <row r="248" spans="1:11" s="485" customFormat="1" ht="22.15" customHeight="1">
      <c r="A248" s="490"/>
      <c r="B248" s="491" t="s">
        <v>115</v>
      </c>
      <c r="C248" s="505">
        <f t="shared" ref="C248:H248" si="39">SUM(C238:C247)</f>
        <v>1151</v>
      </c>
      <c r="D248" s="505">
        <f t="shared" si="39"/>
        <v>115159010.17</v>
      </c>
      <c r="E248" s="505">
        <f t="shared" si="39"/>
        <v>1110693.2399999998</v>
      </c>
      <c r="F248" s="505">
        <f t="shared" si="39"/>
        <v>115159011.47</v>
      </c>
      <c r="G248" s="505">
        <f t="shared" si="39"/>
        <v>1227</v>
      </c>
      <c r="H248" s="505">
        <f t="shared" si="39"/>
        <v>121915255.20000002</v>
      </c>
    </row>
    <row r="249" spans="1:11" s="51" customFormat="1" ht="15.75" hidden="1">
      <c r="A249" s="724"/>
      <c r="B249" s="724" t="s">
        <v>116</v>
      </c>
      <c r="C249" s="724">
        <f t="shared" ref="C249:H249" si="40">C248+C236</f>
        <v>1151</v>
      </c>
      <c r="D249" s="724">
        <f t="shared" si="40"/>
        <v>115159010.17</v>
      </c>
      <c r="E249" s="724">
        <f t="shared" si="40"/>
        <v>1110693.2399999998</v>
      </c>
      <c r="F249" s="724">
        <f t="shared" si="40"/>
        <v>115159011.47</v>
      </c>
      <c r="G249" s="724">
        <f t="shared" si="40"/>
        <v>1227</v>
      </c>
      <c r="H249" s="724">
        <f t="shared" si="40"/>
        <v>121915255.20000002</v>
      </c>
      <c r="J249" s="1080">
        <f>'Фонды2015-2017'!AJ170</f>
        <v>115159023.42999999</v>
      </c>
      <c r="K249" s="51">
        <f>J249-D249</f>
        <v>13.259999990463257</v>
      </c>
    </row>
    <row r="250" spans="1:11" s="485" customFormat="1" ht="15.75">
      <c r="B250" s="1764" t="s">
        <v>241</v>
      </c>
      <c r="C250" s="1764"/>
      <c r="D250" s="1764"/>
      <c r="E250" s="1112"/>
      <c r="F250" s="1112"/>
    </row>
    <row r="251" spans="1:11" s="485" customFormat="1" ht="45" hidden="1">
      <c r="A251" s="486"/>
      <c r="B251" s="46" t="s">
        <v>106</v>
      </c>
      <c r="C251" s="486"/>
      <c r="D251" s="486"/>
      <c r="E251" s="486"/>
      <c r="F251" s="486"/>
      <c r="G251" s="486"/>
      <c r="H251" s="486"/>
    </row>
    <row r="252" spans="1:11" s="485" customFormat="1" ht="29.25" hidden="1" customHeight="1">
      <c r="A252" s="486">
        <v>1</v>
      </c>
      <c r="B252" s="486" t="s">
        <v>242</v>
      </c>
      <c r="C252" s="486">
        <v>143</v>
      </c>
      <c r="D252" s="486">
        <v>10395019.199999999</v>
      </c>
      <c r="E252" s="486"/>
      <c r="F252" s="486"/>
      <c r="G252" s="486">
        <v>144</v>
      </c>
      <c r="H252" s="486"/>
      <c r="I252" s="485" t="s">
        <v>695</v>
      </c>
    </row>
    <row r="253" spans="1:11" s="485" customFormat="1" ht="19.899999999999999" hidden="1" customHeight="1">
      <c r="A253" s="486"/>
      <c r="B253" s="47" t="s">
        <v>108</v>
      </c>
      <c r="C253" s="48">
        <f>SUM(C252:C252)</f>
        <v>143</v>
      </c>
      <c r="D253" s="48">
        <f>SUM(D252:D252)</f>
        <v>10395019.199999999</v>
      </c>
      <c r="E253" s="48"/>
      <c r="F253" s="48"/>
      <c r="G253" s="48">
        <f>SUM(G252:G252)</f>
        <v>144</v>
      </c>
      <c r="H253" s="48">
        <f>SUM(H252:H252)</f>
        <v>0</v>
      </c>
    </row>
    <row r="254" spans="1:11" s="485" customFormat="1" ht="45">
      <c r="A254" s="486"/>
      <c r="B254" s="46" t="s">
        <v>109</v>
      </c>
      <c r="C254" s="486"/>
      <c r="D254" s="486"/>
      <c r="E254" s="486"/>
      <c r="F254" s="486"/>
      <c r="G254" s="486"/>
      <c r="H254" s="486"/>
    </row>
    <row r="255" spans="1:11" s="485" customFormat="1" ht="30.75">
      <c r="A255" s="487">
        <v>1</v>
      </c>
      <c r="B255" s="486" t="s">
        <v>243</v>
      </c>
      <c r="C255" s="486">
        <v>273</v>
      </c>
      <c r="D255" s="37">
        <v>19862433</v>
      </c>
      <c r="E255" s="37">
        <f t="shared" ref="E255:E261" si="41">ROUND(D255/C255,2)</f>
        <v>72756.160000000003</v>
      </c>
      <c r="F255" s="40">
        <f t="shared" ref="F255:F261" si="42">ROUND(E255*C255,2)</f>
        <v>19862431.68</v>
      </c>
      <c r="G255" s="37">
        <v>295</v>
      </c>
      <c r="H255" s="486"/>
    </row>
    <row r="256" spans="1:11" s="485" customFormat="1" ht="30.75">
      <c r="A256" s="487">
        <v>2</v>
      </c>
      <c r="B256" s="486" t="s">
        <v>244</v>
      </c>
      <c r="C256" s="486">
        <v>245</v>
      </c>
      <c r="D256" s="37">
        <v>25783300.199999999</v>
      </c>
      <c r="E256" s="37">
        <f t="shared" si="41"/>
        <v>105237.96</v>
      </c>
      <c r="F256" s="40">
        <f t="shared" si="42"/>
        <v>25783300.199999999</v>
      </c>
      <c r="G256" s="37">
        <v>240</v>
      </c>
      <c r="H256" s="486"/>
      <c r="I256" s="485" t="s">
        <v>696</v>
      </c>
    </row>
    <row r="257" spans="1:11" s="485" customFormat="1" ht="30.75">
      <c r="A257" s="487">
        <v>3</v>
      </c>
      <c r="B257" s="486" t="s">
        <v>245</v>
      </c>
      <c r="C257" s="486">
        <v>104</v>
      </c>
      <c r="D257" s="38">
        <f>12952729.2</f>
        <v>12952729.199999999</v>
      </c>
      <c r="E257" s="37">
        <f t="shared" si="41"/>
        <v>124545.47</v>
      </c>
      <c r="F257" s="40">
        <f t="shared" si="42"/>
        <v>12952728.880000001</v>
      </c>
      <c r="G257" s="37">
        <v>103</v>
      </c>
      <c r="H257" s="486"/>
    </row>
    <row r="258" spans="1:11" s="485" customFormat="1" ht="30.75">
      <c r="A258" s="487">
        <v>4</v>
      </c>
      <c r="B258" s="486" t="s">
        <v>246</v>
      </c>
      <c r="C258" s="486">
        <v>170</v>
      </c>
      <c r="D258" s="37">
        <v>15636327.6</v>
      </c>
      <c r="E258" s="37">
        <f t="shared" si="41"/>
        <v>91978.4</v>
      </c>
      <c r="F258" s="40">
        <f t="shared" si="42"/>
        <v>15636328</v>
      </c>
      <c r="G258" s="37">
        <v>170</v>
      </c>
      <c r="H258" s="486"/>
    </row>
    <row r="259" spans="1:11" s="485" customFormat="1" ht="30.75">
      <c r="A259" s="487">
        <v>5</v>
      </c>
      <c r="B259" s="486" t="s">
        <v>247</v>
      </c>
      <c r="C259" s="486">
        <v>184</v>
      </c>
      <c r="D259" s="37">
        <v>21060247.199999999</v>
      </c>
      <c r="E259" s="37">
        <f t="shared" si="41"/>
        <v>114457.87</v>
      </c>
      <c r="F259" s="40">
        <f t="shared" si="42"/>
        <v>21060248.079999998</v>
      </c>
      <c r="G259" s="37">
        <v>187</v>
      </c>
      <c r="H259" s="486"/>
      <c r="I259" s="485" t="s">
        <v>697</v>
      </c>
    </row>
    <row r="260" spans="1:11" s="485" customFormat="1" ht="30.75">
      <c r="A260" s="487">
        <v>6</v>
      </c>
      <c r="B260" s="486" t="s">
        <v>248</v>
      </c>
      <c r="C260" s="486">
        <v>205</v>
      </c>
      <c r="D260" s="37">
        <v>9576572</v>
      </c>
      <c r="E260" s="37">
        <f t="shared" si="41"/>
        <v>46714.99</v>
      </c>
      <c r="F260" s="40">
        <f t="shared" si="42"/>
        <v>9576572.9499999993</v>
      </c>
      <c r="G260" s="37">
        <v>205</v>
      </c>
      <c r="H260" s="486"/>
    </row>
    <row r="261" spans="1:11" s="485" customFormat="1" ht="24" customHeight="1">
      <c r="A261" s="487">
        <v>7</v>
      </c>
      <c r="B261" s="486" t="s">
        <v>249</v>
      </c>
      <c r="C261" s="486">
        <v>272</v>
      </c>
      <c r="D261" s="37">
        <v>22584222.600000001</v>
      </c>
      <c r="E261" s="37">
        <f t="shared" si="41"/>
        <v>83030.23</v>
      </c>
      <c r="F261" s="40">
        <f t="shared" si="42"/>
        <v>22584222.559999999</v>
      </c>
      <c r="G261" s="37">
        <v>285</v>
      </c>
      <c r="H261" s="486"/>
      <c r="I261" s="485" t="s">
        <v>698</v>
      </c>
    </row>
    <row r="262" spans="1:11" s="485" customFormat="1" ht="25.9" customHeight="1">
      <c r="A262" s="46"/>
      <c r="B262" s="49" t="s">
        <v>115</v>
      </c>
      <c r="C262" s="50">
        <f t="shared" ref="C262:H262" si="43">SUM(C255:C261)</f>
        <v>1453</v>
      </c>
      <c r="D262" s="50">
        <f t="shared" si="43"/>
        <v>127455831.80000001</v>
      </c>
      <c r="E262" s="50">
        <f t="shared" si="43"/>
        <v>638721.07999999996</v>
      </c>
      <c r="F262" s="50">
        <f t="shared" si="43"/>
        <v>127455832.34999999</v>
      </c>
      <c r="G262" s="50">
        <f t="shared" si="43"/>
        <v>1485</v>
      </c>
      <c r="H262" s="50">
        <f t="shared" si="43"/>
        <v>0</v>
      </c>
    </row>
    <row r="263" spans="1:11" s="51" customFormat="1" ht="15.75" hidden="1">
      <c r="A263" s="497"/>
      <c r="B263" s="497" t="s">
        <v>116</v>
      </c>
      <c r="C263" s="497">
        <f t="shared" ref="C263:H263" si="44">C262+C253</f>
        <v>1596</v>
      </c>
      <c r="D263" s="497">
        <f t="shared" si="44"/>
        <v>137850851</v>
      </c>
      <c r="E263" s="497">
        <f t="shared" si="44"/>
        <v>638721.07999999996</v>
      </c>
      <c r="F263" s="497">
        <f t="shared" si="44"/>
        <v>127455832.34999999</v>
      </c>
      <c r="G263" s="497">
        <f t="shared" si="44"/>
        <v>1629</v>
      </c>
      <c r="H263" s="497">
        <f t="shared" si="44"/>
        <v>0</v>
      </c>
      <c r="J263" s="1080">
        <f>'Фонды2015-2017'!AJ179</f>
        <v>137850851.02000001</v>
      </c>
      <c r="K263" s="51">
        <f>J263-D263</f>
        <v>2.000001072883606E-2</v>
      </c>
    </row>
    <row r="264" spans="1:11" ht="26.45" customHeight="1">
      <c r="A264" s="36"/>
      <c r="B264" s="1766" t="s">
        <v>250</v>
      </c>
      <c r="C264" s="1766"/>
      <c r="D264" s="1766"/>
      <c r="E264" s="1111"/>
      <c r="F264" s="1111"/>
      <c r="I264" s="36"/>
      <c r="J264" s="36"/>
      <c r="K264" s="36"/>
    </row>
    <row r="265" spans="1:11" ht="24.6" hidden="1" customHeight="1">
      <c r="A265" s="37"/>
      <c r="B265" s="38" t="s">
        <v>106</v>
      </c>
      <c r="C265" s="37"/>
      <c r="D265" s="37"/>
      <c r="E265" s="37"/>
      <c r="F265" s="37"/>
      <c r="G265" s="37"/>
      <c r="H265" s="37"/>
      <c r="I265" s="36"/>
      <c r="J265" s="36"/>
      <c r="K265" s="36"/>
    </row>
    <row r="266" spans="1:11" ht="15.75" hidden="1">
      <c r="A266" s="37">
        <v>1</v>
      </c>
      <c r="B266" s="499" t="s">
        <v>251</v>
      </c>
      <c r="C266" s="784">
        <f>506+90</f>
        <v>596</v>
      </c>
      <c r="D266" s="506">
        <f>17972154.78+5003317.22</f>
        <v>22975472</v>
      </c>
      <c r="E266" s="506"/>
      <c r="F266" s="506"/>
      <c r="G266" s="499">
        <f>510+90</f>
        <v>600</v>
      </c>
      <c r="H266" s="506">
        <v>25620277</v>
      </c>
      <c r="I266" s="72"/>
      <c r="J266" s="36"/>
      <c r="K266" s="36"/>
    </row>
    <row r="267" spans="1:11" ht="29.45" hidden="1" customHeight="1">
      <c r="A267" s="37">
        <v>2</v>
      </c>
      <c r="B267" s="37" t="s">
        <v>252</v>
      </c>
      <c r="C267" s="506">
        <v>333</v>
      </c>
      <c r="D267" s="506">
        <v>15546403.619999999</v>
      </c>
      <c r="E267" s="506"/>
      <c r="F267" s="506"/>
      <c r="G267" s="499">
        <v>331</v>
      </c>
      <c r="H267" s="506">
        <v>15426533.869999999</v>
      </c>
      <c r="I267" s="72"/>
      <c r="J267" s="36"/>
      <c r="K267" s="36"/>
    </row>
    <row r="268" spans="1:11" ht="24" hidden="1" customHeight="1">
      <c r="A268" s="37"/>
      <c r="B268" s="39" t="s">
        <v>108</v>
      </c>
      <c r="C268" s="40">
        <f>SUM(C266:C267)</f>
        <v>929</v>
      </c>
      <c r="D268" s="40">
        <f>SUM(D266:D267)</f>
        <v>38521875.619999997</v>
      </c>
      <c r="E268" s="40"/>
      <c r="F268" s="40"/>
      <c r="G268" s="40">
        <f>SUM(G266:G267)</f>
        <v>931</v>
      </c>
      <c r="H268" s="40">
        <f>SUM(H266:H267)</f>
        <v>41046810.869999997</v>
      </c>
      <c r="I268" s="36"/>
      <c r="J268" s="36"/>
      <c r="K268" s="36"/>
    </row>
    <row r="269" spans="1:11" ht="25.15" customHeight="1">
      <c r="A269" s="37"/>
      <c r="B269" s="38" t="s">
        <v>109</v>
      </c>
      <c r="C269" s="37"/>
      <c r="D269" s="37"/>
      <c r="E269" s="37"/>
      <c r="F269" s="37"/>
      <c r="G269" s="37"/>
      <c r="H269" s="37"/>
      <c r="I269" s="36"/>
      <c r="J269" s="36"/>
      <c r="K269" s="36"/>
    </row>
    <row r="270" spans="1:11" ht="15.75">
      <c r="A270" s="464">
        <v>1</v>
      </c>
      <c r="B270" s="499" t="s">
        <v>253</v>
      </c>
      <c r="C270" s="506">
        <v>234</v>
      </c>
      <c r="D270" s="499">
        <v>18314492.399999999</v>
      </c>
      <c r="E270" s="37">
        <f t="shared" ref="E270:E279" si="45">ROUND(D270/C270,2)</f>
        <v>78267.06</v>
      </c>
      <c r="F270" s="40">
        <f t="shared" ref="F270:F279" si="46">ROUND(E270*C270,2)</f>
        <v>18314492.039999999</v>
      </c>
      <c r="G270" s="499">
        <v>239</v>
      </c>
      <c r="H270" s="499">
        <f>18409483+28700</f>
        <v>18438183</v>
      </c>
      <c r="I270" s="36"/>
      <c r="J270" s="36"/>
      <c r="K270" s="36"/>
    </row>
    <row r="271" spans="1:11" ht="15.75">
      <c r="A271" s="464">
        <v>2</v>
      </c>
      <c r="B271" s="37" t="s">
        <v>254</v>
      </c>
      <c r="C271" s="506">
        <v>275</v>
      </c>
      <c r="D271" s="499">
        <v>20303325.800000001</v>
      </c>
      <c r="E271" s="37">
        <f t="shared" si="45"/>
        <v>73830.28</v>
      </c>
      <c r="F271" s="40">
        <f t="shared" si="46"/>
        <v>20303327</v>
      </c>
      <c r="G271" s="499">
        <v>280</v>
      </c>
      <c r="H271" s="499">
        <f>20392040+26800-200000</f>
        <v>20218840</v>
      </c>
      <c r="I271" s="36"/>
      <c r="J271" s="36"/>
      <c r="K271" s="36"/>
    </row>
    <row r="272" spans="1:11" ht="15.75">
      <c r="A272" s="464">
        <v>3</v>
      </c>
      <c r="B272" s="37" t="s">
        <v>667</v>
      </c>
      <c r="C272" s="506">
        <v>62</v>
      </c>
      <c r="D272" s="38">
        <f>8651421.4</f>
        <v>8651421.4000000004</v>
      </c>
      <c r="E272" s="37">
        <f t="shared" si="45"/>
        <v>139539.04999999999</v>
      </c>
      <c r="F272" s="40">
        <f t="shared" si="46"/>
        <v>8651421.0999999996</v>
      </c>
      <c r="G272" s="499">
        <v>62</v>
      </c>
      <c r="H272" s="499">
        <f>8700620+14800</f>
        <v>8715420</v>
      </c>
      <c r="I272" s="36"/>
      <c r="J272" s="36"/>
      <c r="K272" s="36"/>
    </row>
    <row r="273" spans="1:14" ht="15.75">
      <c r="A273" s="464">
        <v>4</v>
      </c>
      <c r="B273" s="37" t="s">
        <v>255</v>
      </c>
      <c r="C273" s="506">
        <v>49</v>
      </c>
      <c r="D273" s="499">
        <v>4863083</v>
      </c>
      <c r="E273" s="37">
        <f t="shared" si="45"/>
        <v>99246.59</v>
      </c>
      <c r="F273" s="40">
        <f t="shared" si="46"/>
        <v>4863082.91</v>
      </c>
      <c r="G273" s="499">
        <v>50</v>
      </c>
      <c r="H273" s="499">
        <f>4881571+5600+360000</f>
        <v>5247171</v>
      </c>
      <c r="I273" s="72"/>
      <c r="J273" s="36"/>
      <c r="K273" s="36"/>
    </row>
    <row r="274" spans="1:14" ht="15.75">
      <c r="A274" s="464">
        <v>5</v>
      </c>
      <c r="B274" s="37" t="s">
        <v>256</v>
      </c>
      <c r="C274" s="506">
        <v>98</v>
      </c>
      <c r="D274" s="499">
        <v>9811289.4800000004</v>
      </c>
      <c r="E274" s="37">
        <f t="shared" si="45"/>
        <v>100115.2</v>
      </c>
      <c r="F274" s="40">
        <f t="shared" si="46"/>
        <v>9811289.5999999996</v>
      </c>
      <c r="G274" s="499">
        <v>102</v>
      </c>
      <c r="H274" s="499">
        <f>9861580+15100</f>
        <v>9876680</v>
      </c>
      <c r="I274" s="72"/>
      <c r="J274" s="36"/>
      <c r="K274" s="36"/>
    </row>
    <row r="275" spans="1:14" ht="30.75">
      <c r="A275" s="464">
        <v>6</v>
      </c>
      <c r="B275" s="37" t="s">
        <v>257</v>
      </c>
      <c r="C275" s="506">
        <v>27</v>
      </c>
      <c r="D275" s="499">
        <v>5996069.8200000003</v>
      </c>
      <c r="E275" s="37">
        <f t="shared" si="45"/>
        <v>222076.66</v>
      </c>
      <c r="F275" s="40">
        <f t="shared" si="46"/>
        <v>5996069.8200000003</v>
      </c>
      <c r="G275" s="499">
        <v>27</v>
      </c>
      <c r="H275" s="499">
        <f>6023694+8300</f>
        <v>6031994</v>
      </c>
      <c r="I275" s="36"/>
      <c r="J275" s="36"/>
      <c r="K275" s="36"/>
    </row>
    <row r="276" spans="1:14" ht="30.75">
      <c r="A276" s="464">
        <v>7</v>
      </c>
      <c r="B276" s="37" t="s">
        <v>258</v>
      </c>
      <c r="C276" s="506">
        <v>31</v>
      </c>
      <c r="D276" s="38">
        <f>7240160.07</f>
        <v>7240160.0700000003</v>
      </c>
      <c r="E276" s="37">
        <f t="shared" si="45"/>
        <v>233553.55</v>
      </c>
      <c r="F276" s="40">
        <f t="shared" si="46"/>
        <v>7240160.0499999998</v>
      </c>
      <c r="G276" s="499">
        <v>31</v>
      </c>
      <c r="H276" s="499">
        <f>7283337+13000</f>
        <v>7296337</v>
      </c>
      <c r="I276" s="36"/>
      <c r="J276" s="36"/>
      <c r="K276" s="36"/>
    </row>
    <row r="277" spans="1:14" ht="15.75">
      <c r="A277" s="464">
        <v>8</v>
      </c>
      <c r="B277" s="37" t="s">
        <v>259</v>
      </c>
      <c r="C277" s="506">
        <v>136</v>
      </c>
      <c r="D277" s="499">
        <v>18571382.68</v>
      </c>
      <c r="E277" s="37">
        <f t="shared" si="45"/>
        <v>136554.28</v>
      </c>
      <c r="F277" s="40">
        <f t="shared" si="46"/>
        <v>18571382.079999998</v>
      </c>
      <c r="G277" s="499">
        <v>137</v>
      </c>
      <c r="H277" s="499">
        <f>18681893+33400</f>
        <v>18715293</v>
      </c>
      <c r="I277" s="36"/>
      <c r="J277" s="36"/>
      <c r="K277" s="36"/>
    </row>
    <row r="278" spans="1:14" ht="30.75">
      <c r="A278" s="464">
        <v>9</v>
      </c>
      <c r="B278" s="37" t="s">
        <v>668</v>
      </c>
      <c r="C278" s="499">
        <v>88</v>
      </c>
      <c r="D278" s="499">
        <v>11098760.1</v>
      </c>
      <c r="E278" s="37">
        <f t="shared" si="45"/>
        <v>126122.27</v>
      </c>
      <c r="F278" s="40">
        <f t="shared" si="46"/>
        <v>11098759.76</v>
      </c>
      <c r="G278" s="499">
        <v>94</v>
      </c>
      <c r="H278" s="499">
        <f>11521130+18900-160000</f>
        <v>11380030</v>
      </c>
      <c r="I278" s="36"/>
      <c r="J278" s="36"/>
      <c r="K278" s="36"/>
    </row>
    <row r="279" spans="1:14" ht="24.6" customHeight="1">
      <c r="A279" s="464">
        <v>10</v>
      </c>
      <c r="B279" s="37" t="s">
        <v>260</v>
      </c>
      <c r="C279" s="506">
        <v>84</v>
      </c>
      <c r="D279" s="499">
        <v>14012719.65</v>
      </c>
      <c r="E279" s="37">
        <f t="shared" si="45"/>
        <v>166818.09</v>
      </c>
      <c r="F279" s="40">
        <f t="shared" si="46"/>
        <v>14012719.560000001</v>
      </c>
      <c r="G279" s="499">
        <v>81</v>
      </c>
      <c r="H279" s="499">
        <f>14101947+26900</f>
        <v>14128847</v>
      </c>
      <c r="I279" s="36"/>
      <c r="J279" s="36"/>
      <c r="K279" s="36"/>
    </row>
    <row r="280" spans="1:14" ht="24" customHeight="1">
      <c r="A280" s="41"/>
      <c r="B280" s="42" t="s">
        <v>115</v>
      </c>
      <c r="C280" s="43">
        <f t="shared" ref="C280:H280" si="47">SUM(C270:C279)</f>
        <v>1084</v>
      </c>
      <c r="D280" s="43">
        <f t="shared" si="47"/>
        <v>118862704.40000001</v>
      </c>
      <c r="E280" s="43">
        <f t="shared" si="47"/>
        <v>1376123.03</v>
      </c>
      <c r="F280" s="43">
        <f t="shared" si="47"/>
        <v>118862703.92</v>
      </c>
      <c r="G280" s="43">
        <f t="shared" si="47"/>
        <v>1103</v>
      </c>
      <c r="H280" s="43">
        <f t="shared" si="47"/>
        <v>120048795</v>
      </c>
      <c r="I280" s="36"/>
      <c r="J280" s="36"/>
      <c r="K280" s="36"/>
    </row>
    <row r="281" spans="1:14" s="45" customFormat="1" ht="15.75" hidden="1">
      <c r="A281" s="44"/>
      <c r="B281" s="44" t="s">
        <v>116</v>
      </c>
      <c r="C281" s="44">
        <f t="shared" ref="C281:H281" si="48">C280+C268</f>
        <v>2013</v>
      </c>
      <c r="D281" s="44">
        <f t="shared" si="48"/>
        <v>157384580.02000001</v>
      </c>
      <c r="E281" s="44">
        <f t="shared" si="48"/>
        <v>1376123.03</v>
      </c>
      <c r="F281" s="44">
        <f t="shared" si="48"/>
        <v>118862703.92</v>
      </c>
      <c r="G281" s="44">
        <f t="shared" si="48"/>
        <v>2034</v>
      </c>
      <c r="H281" s="44">
        <f t="shared" si="48"/>
        <v>161095605.87</v>
      </c>
      <c r="J281" s="1080">
        <f>'Фонды2015-2017'!AJ188</f>
        <v>158016492.66</v>
      </c>
      <c r="K281" s="51">
        <f>J281-D281</f>
        <v>631912.63999998569</v>
      </c>
    </row>
    <row r="282" spans="1:14" ht="27" customHeight="1">
      <c r="A282" s="507"/>
      <c r="B282" s="1766" t="s">
        <v>261</v>
      </c>
      <c r="C282" s="1766"/>
      <c r="D282" s="1766"/>
      <c r="E282" s="1111"/>
      <c r="F282" s="1111"/>
      <c r="G282" s="507"/>
      <c r="I282" s="45"/>
      <c r="J282" s="45"/>
      <c r="K282" s="45"/>
      <c r="L282" s="45"/>
      <c r="M282" s="45"/>
      <c r="N282" s="45"/>
    </row>
    <row r="283" spans="1:14" s="462" customFormat="1" ht="24" hidden="1" customHeight="1">
      <c r="A283" s="424"/>
      <c r="B283" s="424" t="s">
        <v>106</v>
      </c>
      <c r="C283" s="551"/>
      <c r="D283" s="551"/>
      <c r="E283" s="914"/>
      <c r="F283" s="914"/>
      <c r="G283" s="551"/>
      <c r="H283" s="551"/>
      <c r="I283" s="45"/>
      <c r="J283" s="45"/>
      <c r="K283" s="45"/>
      <c r="L283" s="45"/>
      <c r="M283" s="45"/>
      <c r="N283" s="45"/>
    </row>
    <row r="284" spans="1:14" s="462" customFormat="1" ht="29.25" hidden="1" customHeight="1">
      <c r="A284" s="424">
        <v>1</v>
      </c>
      <c r="B284" s="424" t="s">
        <v>262</v>
      </c>
      <c r="C284" s="551">
        <v>500</v>
      </c>
      <c r="D284" s="551">
        <v>26787806.899999999</v>
      </c>
      <c r="E284" s="914"/>
      <c r="F284" s="914"/>
      <c r="G284" s="551">
        <v>502</v>
      </c>
      <c r="H284" s="551">
        <v>26787806.899999999</v>
      </c>
      <c r="I284" s="45"/>
      <c r="J284" s="45"/>
      <c r="K284" s="45"/>
      <c r="L284" s="45"/>
      <c r="M284" s="45"/>
      <c r="N284" s="45"/>
    </row>
    <row r="285" spans="1:14" s="462" customFormat="1" ht="66.75" hidden="1" customHeight="1">
      <c r="A285" s="424"/>
      <c r="B285" s="508" t="s">
        <v>108</v>
      </c>
      <c r="C285" s="552">
        <f>SUM(C284:C284)</f>
        <v>500</v>
      </c>
      <c r="D285" s="552">
        <f>SUM(D284:D284)</f>
        <v>26787806.899999999</v>
      </c>
      <c r="E285" s="915"/>
      <c r="F285" s="915"/>
      <c r="G285" s="552">
        <f>SUM(G284:G284)</f>
        <v>502</v>
      </c>
      <c r="H285" s="552">
        <f>SUM(H284:H284)</f>
        <v>26787806.899999999</v>
      </c>
      <c r="I285" s="45"/>
      <c r="J285" s="45"/>
      <c r="K285" s="45"/>
      <c r="L285" s="45"/>
      <c r="M285" s="45"/>
      <c r="N285" s="45"/>
    </row>
    <row r="286" spans="1:14" s="462" customFormat="1" ht="19.899999999999999" customHeight="1">
      <c r="A286" s="424"/>
      <c r="B286" s="38" t="s">
        <v>109</v>
      </c>
      <c r="C286" s="551"/>
      <c r="D286" s="551"/>
      <c r="E286" s="914"/>
      <c r="F286" s="914"/>
      <c r="G286" s="551"/>
      <c r="H286" s="551"/>
      <c r="I286" s="45"/>
      <c r="J286" s="45"/>
      <c r="K286" s="45"/>
      <c r="L286" s="45"/>
      <c r="M286" s="45"/>
      <c r="N286" s="45"/>
    </row>
    <row r="287" spans="1:14" s="462" customFormat="1" ht="27" customHeight="1">
      <c r="A287" s="502">
        <v>1</v>
      </c>
      <c r="B287" s="424" t="s">
        <v>263</v>
      </c>
      <c r="C287" s="529">
        <v>162</v>
      </c>
      <c r="D287" s="499">
        <v>13491634.859999999</v>
      </c>
      <c r="E287" s="37">
        <f>ROUND(D287/C287,2)</f>
        <v>83281.7</v>
      </c>
      <c r="F287" s="40">
        <f>ROUND(E287*C287,2)</f>
        <v>13491635.4</v>
      </c>
      <c r="G287" s="499">
        <v>170</v>
      </c>
      <c r="H287" s="529">
        <v>13350300</v>
      </c>
      <c r="I287" s="45"/>
      <c r="J287" s="45"/>
      <c r="K287" s="45"/>
      <c r="L287" s="45"/>
      <c r="M287" s="45"/>
      <c r="N287" s="45"/>
    </row>
    <row r="288" spans="1:14" s="462" customFormat="1" ht="28.5" customHeight="1">
      <c r="A288" s="502">
        <v>2</v>
      </c>
      <c r="B288" s="424" t="s">
        <v>264</v>
      </c>
      <c r="C288" s="529">
        <v>245</v>
      </c>
      <c r="D288" s="499">
        <v>18420106.32</v>
      </c>
      <c r="E288" s="37">
        <f>ROUND(D288/C288,2)</f>
        <v>75184.11</v>
      </c>
      <c r="F288" s="40">
        <f>ROUND(E288*C288,2)</f>
        <v>18420106.949999999</v>
      </c>
      <c r="G288" s="499">
        <v>243</v>
      </c>
      <c r="H288" s="529">
        <v>18420200</v>
      </c>
      <c r="I288" s="45"/>
      <c r="J288" s="45"/>
      <c r="K288" s="45"/>
      <c r="L288" s="45"/>
      <c r="M288" s="45"/>
      <c r="N288" s="45"/>
    </row>
    <row r="289" spans="1:14" s="462" customFormat="1" ht="22.5" customHeight="1">
      <c r="A289" s="502">
        <v>3</v>
      </c>
      <c r="B289" s="424" t="s">
        <v>265</v>
      </c>
      <c r="C289" s="529">
        <v>261</v>
      </c>
      <c r="D289" s="38">
        <f>22282806.7+200000</f>
        <v>22482806.699999999</v>
      </c>
      <c r="E289" s="37">
        <f>ROUND(D289/C289,2)</f>
        <v>86141.02</v>
      </c>
      <c r="F289" s="40">
        <f>ROUND(E289*C289,2)</f>
        <v>22482806.219999999</v>
      </c>
      <c r="G289" s="499">
        <v>264</v>
      </c>
      <c r="H289" s="529">
        <v>22600000</v>
      </c>
      <c r="I289" s="45"/>
      <c r="J289" s="45"/>
      <c r="K289" s="45"/>
      <c r="L289" s="45"/>
      <c r="M289" s="45"/>
      <c r="N289" s="45"/>
    </row>
    <row r="290" spans="1:14" s="462" customFormat="1" ht="25.9" customHeight="1">
      <c r="A290" s="502">
        <v>4</v>
      </c>
      <c r="B290" s="424" t="s">
        <v>266</v>
      </c>
      <c r="C290" s="529">
        <v>194</v>
      </c>
      <c r="D290" s="499">
        <v>13861602.949999999</v>
      </c>
      <c r="E290" s="37">
        <f>ROUND(D290/C290,2)</f>
        <v>71451.56</v>
      </c>
      <c r="F290" s="40">
        <f>ROUND(E290*C290,2)</f>
        <v>13861602.640000001</v>
      </c>
      <c r="G290" s="499">
        <v>202</v>
      </c>
      <c r="H290" s="529">
        <v>14601587</v>
      </c>
      <c r="I290" s="45"/>
      <c r="J290" s="45"/>
      <c r="K290" s="45"/>
      <c r="L290" s="45"/>
      <c r="M290" s="45"/>
      <c r="N290" s="45"/>
    </row>
    <row r="291" spans="1:14" ht="23.45" customHeight="1">
      <c r="A291" s="41"/>
      <c r="B291" s="42" t="s">
        <v>115</v>
      </c>
      <c r="C291" s="60">
        <f t="shared" ref="C291:H291" si="49">SUM(C287:C290)</f>
        <v>862</v>
      </c>
      <c r="D291" s="60">
        <f t="shared" si="49"/>
        <v>68256150.829999998</v>
      </c>
      <c r="E291" s="60">
        <f t="shared" si="49"/>
        <v>316058.39</v>
      </c>
      <c r="F291" s="60">
        <f t="shared" si="49"/>
        <v>68256151.210000008</v>
      </c>
      <c r="G291" s="60">
        <f t="shared" si="49"/>
        <v>879</v>
      </c>
      <c r="H291" s="60">
        <f t="shared" si="49"/>
        <v>68972087</v>
      </c>
      <c r="I291" s="45"/>
      <c r="J291" s="45"/>
      <c r="K291" s="45"/>
      <c r="L291" s="45"/>
      <c r="M291" s="45"/>
      <c r="N291" s="45"/>
    </row>
    <row r="292" spans="1:14" s="45" customFormat="1" ht="15.75" hidden="1">
      <c r="A292" s="44"/>
      <c r="B292" s="44" t="s">
        <v>116</v>
      </c>
      <c r="C292" s="61">
        <f t="shared" ref="C292:H292" si="50">C291+C285</f>
        <v>1362</v>
      </c>
      <c r="D292" s="61">
        <f t="shared" si="50"/>
        <v>95043957.729999989</v>
      </c>
      <c r="E292" s="61">
        <f t="shared" si="50"/>
        <v>316058.39</v>
      </c>
      <c r="F292" s="61">
        <f t="shared" si="50"/>
        <v>68256151.210000008</v>
      </c>
      <c r="G292" s="61">
        <f t="shared" si="50"/>
        <v>1381</v>
      </c>
      <c r="H292" s="61">
        <f t="shared" si="50"/>
        <v>95759893.900000006</v>
      </c>
      <c r="J292" s="1080">
        <f>'Фонды2015-2017'!AJ197</f>
        <v>94843957.730000004</v>
      </c>
      <c r="K292" s="51">
        <f>J292-D292</f>
        <v>-199999.9999999851</v>
      </c>
    </row>
    <row r="293" spans="1:14" ht="19.899999999999999" customHeight="1">
      <c r="A293" s="36"/>
      <c r="B293" s="1765" t="s">
        <v>267</v>
      </c>
      <c r="C293" s="1765"/>
      <c r="D293" s="1765"/>
      <c r="E293" s="1111"/>
      <c r="F293" s="1111"/>
      <c r="I293" s="45"/>
      <c r="J293" s="45"/>
      <c r="K293" s="45"/>
      <c r="L293" s="45"/>
      <c r="M293" s="45"/>
      <c r="N293" s="45"/>
    </row>
    <row r="294" spans="1:14" ht="45.75" hidden="1">
      <c r="A294" s="37"/>
      <c r="B294" s="38" t="s">
        <v>106</v>
      </c>
      <c r="C294" s="37"/>
      <c r="D294" s="37"/>
      <c r="E294" s="37"/>
      <c r="F294" s="37"/>
      <c r="G294" s="37"/>
      <c r="H294" s="37"/>
      <c r="I294" s="45"/>
      <c r="J294" s="45"/>
      <c r="K294" s="45"/>
      <c r="L294" s="45"/>
      <c r="M294" s="45"/>
      <c r="N294" s="45"/>
    </row>
    <row r="295" spans="1:14" ht="31.9" hidden="1" customHeight="1">
      <c r="A295" s="37">
        <v>1</v>
      </c>
      <c r="B295" s="37" t="s">
        <v>268</v>
      </c>
      <c r="C295" s="37">
        <v>579</v>
      </c>
      <c r="D295" s="79">
        <v>28549640.890000001</v>
      </c>
      <c r="E295" s="79"/>
      <c r="F295" s="79"/>
      <c r="G295" s="37">
        <v>611</v>
      </c>
      <c r="H295" s="37">
        <v>28850560</v>
      </c>
      <c r="I295" s="36"/>
      <c r="J295" s="36"/>
      <c r="K295" s="36"/>
    </row>
    <row r="296" spans="1:14" ht="27" hidden="1" customHeight="1">
      <c r="A296" s="37"/>
      <c r="B296" s="39" t="s">
        <v>108</v>
      </c>
      <c r="C296" s="40">
        <f>SUM(C295:C295)</f>
        <v>579</v>
      </c>
      <c r="D296" s="40">
        <f>SUM(D295:D295)</f>
        <v>28549640.890000001</v>
      </c>
      <c r="E296" s="40"/>
      <c r="F296" s="40"/>
      <c r="G296" s="40">
        <f>SUM(G295:G295)</f>
        <v>611</v>
      </c>
      <c r="H296" s="40">
        <f>SUM(H295:H295)</f>
        <v>28850560</v>
      </c>
      <c r="I296" s="36"/>
      <c r="J296" s="36"/>
      <c r="K296" s="36"/>
    </row>
    <row r="297" spans="1:14" ht="45">
      <c r="A297" s="37"/>
      <c r="B297" s="38" t="s">
        <v>109</v>
      </c>
      <c r="C297" s="37"/>
      <c r="D297" s="37"/>
      <c r="E297" s="37"/>
      <c r="F297" s="37"/>
      <c r="G297" s="37"/>
      <c r="H297" s="37"/>
      <c r="I297" s="36"/>
      <c r="J297" s="36"/>
      <c r="K297" s="36"/>
    </row>
    <row r="298" spans="1:14" ht="30.75">
      <c r="A298" s="464">
        <v>1</v>
      </c>
      <c r="B298" s="37" t="s">
        <v>269</v>
      </c>
      <c r="C298" s="37">
        <v>57</v>
      </c>
      <c r="D298" s="37">
        <v>7903227.8399999999</v>
      </c>
      <c r="E298" s="37">
        <f>ROUND(D298/C298,2)</f>
        <v>138653.12</v>
      </c>
      <c r="F298" s="40">
        <f>ROUND(E298*C298,2)</f>
        <v>7903227.8399999999</v>
      </c>
      <c r="G298" s="37">
        <v>55</v>
      </c>
      <c r="H298" s="37">
        <v>7625922.1500000004</v>
      </c>
      <c r="I298" s="36"/>
      <c r="J298" s="36"/>
      <c r="K298" s="36"/>
    </row>
    <row r="299" spans="1:14" ht="15.75">
      <c r="A299" s="464">
        <v>2</v>
      </c>
      <c r="B299" s="37" t="s">
        <v>270</v>
      </c>
      <c r="C299" s="37">
        <v>98</v>
      </c>
      <c r="D299" s="37">
        <v>12452663.02</v>
      </c>
      <c r="E299" s="37">
        <f>ROUND(D299/C299,2)</f>
        <v>127067.99</v>
      </c>
      <c r="F299" s="40">
        <f>ROUND(E299*C299,2)</f>
        <v>12452663.02</v>
      </c>
      <c r="G299" s="37">
        <v>112</v>
      </c>
      <c r="H299" s="37">
        <v>14095762.84</v>
      </c>
      <c r="I299" s="36"/>
      <c r="J299" s="36"/>
      <c r="K299" s="36"/>
    </row>
    <row r="300" spans="1:14" ht="15.75">
      <c r="A300" s="464">
        <v>3</v>
      </c>
      <c r="B300" s="37" t="s">
        <v>271</v>
      </c>
      <c r="C300" s="37">
        <v>112</v>
      </c>
      <c r="D300" s="37">
        <v>11723170.41</v>
      </c>
      <c r="E300" s="37">
        <f>ROUND(D300/C300,2)</f>
        <v>104671.16</v>
      </c>
      <c r="F300" s="40">
        <f>ROUND(E300*C300,2)</f>
        <v>11723169.92</v>
      </c>
      <c r="G300" s="37">
        <v>119</v>
      </c>
      <c r="H300" s="37">
        <v>13476048.109999999</v>
      </c>
      <c r="I300" s="36"/>
      <c r="J300" s="36"/>
      <c r="K300" s="36"/>
    </row>
    <row r="301" spans="1:14" ht="26.45" customHeight="1">
      <c r="A301" s="464">
        <v>4</v>
      </c>
      <c r="B301" s="37" t="s">
        <v>272</v>
      </c>
      <c r="C301" s="37">
        <v>38</v>
      </c>
      <c r="D301" s="37">
        <v>4845523.28</v>
      </c>
      <c r="E301" s="37">
        <f>ROUND(D301/C301,2)</f>
        <v>127513.77</v>
      </c>
      <c r="F301" s="40">
        <f>ROUND(E301*C301,2)</f>
        <v>4845523.26</v>
      </c>
      <c r="G301" s="37">
        <v>50</v>
      </c>
      <c r="H301" s="37">
        <v>5916898.5</v>
      </c>
      <c r="I301" s="36"/>
      <c r="J301" s="36"/>
      <c r="K301" s="36"/>
    </row>
    <row r="302" spans="1:14" ht="29.45" customHeight="1">
      <c r="A302" s="41"/>
      <c r="B302" s="42" t="s">
        <v>115</v>
      </c>
      <c r="C302" s="43">
        <f t="shared" ref="C302:H302" si="51">SUM(C298:C301)</f>
        <v>305</v>
      </c>
      <c r="D302" s="43">
        <f t="shared" si="51"/>
        <v>36924584.549999997</v>
      </c>
      <c r="E302" s="43">
        <f t="shared" si="51"/>
        <v>497906.04000000004</v>
      </c>
      <c r="F302" s="43">
        <f t="shared" si="51"/>
        <v>36924584.039999999</v>
      </c>
      <c r="G302" s="43">
        <f t="shared" si="51"/>
        <v>336</v>
      </c>
      <c r="H302" s="43">
        <f t="shared" si="51"/>
        <v>41114631.600000001</v>
      </c>
      <c r="I302" s="36"/>
      <c r="J302" s="36"/>
      <c r="K302" s="36"/>
    </row>
    <row r="303" spans="1:14" s="45" customFormat="1" ht="15.75" hidden="1">
      <c r="A303" s="44"/>
      <c r="B303" s="44" t="s">
        <v>116</v>
      </c>
      <c r="C303" s="44">
        <f>C302+C296</f>
        <v>884</v>
      </c>
      <c r="D303" s="509">
        <f>SUM(D302,D296)</f>
        <v>65474225.439999998</v>
      </c>
      <c r="E303" s="509">
        <f>SUM(E302,E296)</f>
        <v>497906.04000000004</v>
      </c>
      <c r="F303" s="509">
        <f>SUM(F302,F296)</f>
        <v>36924584.039999999</v>
      </c>
      <c r="G303" s="509">
        <f>SUM(G302,G296)</f>
        <v>947</v>
      </c>
      <c r="H303" s="509">
        <f>SUM(H302,H296)</f>
        <v>69965191.599999994</v>
      </c>
      <c r="J303" s="1080">
        <f>'Фонды2015-2017'!AJ206</f>
        <v>65474225.440000005</v>
      </c>
      <c r="K303" s="51">
        <f>J303-D303</f>
        <v>0</v>
      </c>
    </row>
    <row r="304" spans="1:14" s="485" customFormat="1" ht="21.6" customHeight="1">
      <c r="B304" s="1770" t="s">
        <v>273</v>
      </c>
      <c r="C304" s="1770"/>
      <c r="D304" s="1770"/>
      <c r="E304" s="1110"/>
      <c r="F304" s="1110"/>
    </row>
    <row r="305" spans="1:11" s="485" customFormat="1" ht="22.15" hidden="1" customHeight="1">
      <c r="A305" s="486"/>
      <c r="B305" s="46" t="s">
        <v>106</v>
      </c>
      <c r="C305" s="486"/>
      <c r="D305" s="486"/>
      <c r="E305" s="486"/>
      <c r="F305" s="486"/>
      <c r="G305" s="486"/>
      <c r="H305" s="486"/>
    </row>
    <row r="306" spans="1:11" s="485" customFormat="1" ht="42.75" hidden="1" customHeight="1">
      <c r="A306" s="788">
        <v>1</v>
      </c>
      <c r="B306" s="486" t="s">
        <v>274</v>
      </c>
      <c r="C306" s="486">
        <v>410</v>
      </c>
      <c r="D306" s="1102">
        <f>23013780-178000</f>
        <v>22835780</v>
      </c>
      <c r="E306" s="1102"/>
      <c r="F306" s="1102"/>
      <c r="G306" s="486">
        <v>398</v>
      </c>
      <c r="H306" s="486">
        <v>23013780</v>
      </c>
    </row>
    <row r="307" spans="1:11" s="485" customFormat="1" ht="32.25" hidden="1" customHeight="1">
      <c r="A307" s="486"/>
      <c r="B307" s="47" t="s">
        <v>108</v>
      </c>
      <c r="C307" s="48">
        <f>SUM(C306:C306)</f>
        <v>410</v>
      </c>
      <c r="D307" s="48">
        <f>SUM(D306:D306)</f>
        <v>22835780</v>
      </c>
      <c r="E307" s="48"/>
      <c r="F307" s="48"/>
      <c r="G307" s="48">
        <f>SUM(G306:G306)</f>
        <v>398</v>
      </c>
      <c r="H307" s="48">
        <f>SUM(H306:H306)</f>
        <v>23013780</v>
      </c>
    </row>
    <row r="308" spans="1:11" s="485" customFormat="1" ht="14.45" customHeight="1">
      <c r="A308" s="486"/>
      <c r="B308" s="46" t="s">
        <v>109</v>
      </c>
      <c r="C308" s="486"/>
      <c r="D308" s="486"/>
      <c r="E308" s="486"/>
      <c r="F308" s="486"/>
      <c r="G308" s="486"/>
      <c r="H308" s="486"/>
    </row>
    <row r="309" spans="1:11" s="485" customFormat="1" ht="30.75">
      <c r="A309" s="487">
        <v>1</v>
      </c>
      <c r="B309" s="486" t="s">
        <v>275</v>
      </c>
      <c r="C309" s="486">
        <v>70</v>
      </c>
      <c r="D309" s="486">
        <v>8426966</v>
      </c>
      <c r="E309" s="37">
        <f>ROUND(D309/C309,2)</f>
        <v>120385.23</v>
      </c>
      <c r="F309" s="40">
        <f>ROUND(E309*C309,2)</f>
        <v>8426966.0999999996</v>
      </c>
      <c r="G309" s="486">
        <v>64</v>
      </c>
      <c r="H309" s="486">
        <v>8426966</v>
      </c>
    </row>
    <row r="310" spans="1:11" s="485" customFormat="1" ht="30.75">
      <c r="A310" s="487">
        <v>2</v>
      </c>
      <c r="B310" s="486" t="s">
        <v>276</v>
      </c>
      <c r="C310" s="486">
        <v>141</v>
      </c>
      <c r="D310" s="486">
        <v>9619103</v>
      </c>
      <c r="E310" s="37">
        <f>ROUND(D310/C310,2)</f>
        <v>68220.59</v>
      </c>
      <c r="F310" s="40">
        <f>ROUND(E310*C310,2)</f>
        <v>9619103.1899999995</v>
      </c>
      <c r="G310" s="486">
        <v>140</v>
      </c>
      <c r="H310" s="486">
        <v>9619103</v>
      </c>
    </row>
    <row r="311" spans="1:11" s="485" customFormat="1" ht="31.9" customHeight="1">
      <c r="A311" s="487">
        <v>3</v>
      </c>
      <c r="B311" s="486" t="s">
        <v>277</v>
      </c>
      <c r="C311" s="486">
        <v>81</v>
      </c>
      <c r="D311" s="486">
        <v>8070383</v>
      </c>
      <c r="E311" s="37">
        <f>ROUND(D311/C311,2)</f>
        <v>99634.36</v>
      </c>
      <c r="F311" s="40">
        <f>ROUND(E311*C311,2)</f>
        <v>8070383.1600000001</v>
      </c>
      <c r="G311" s="486">
        <v>76</v>
      </c>
      <c r="H311" s="486">
        <v>8070383</v>
      </c>
    </row>
    <row r="312" spans="1:11" s="485" customFormat="1" ht="24" customHeight="1">
      <c r="A312" s="490"/>
      <c r="B312" s="491" t="s">
        <v>115</v>
      </c>
      <c r="C312" s="505">
        <f t="shared" ref="C312:H312" si="52">SUM(C309:C311)</f>
        <v>292</v>
      </c>
      <c r="D312" s="505">
        <f t="shared" si="52"/>
        <v>26116452</v>
      </c>
      <c r="E312" s="505">
        <f t="shared" si="52"/>
        <v>288240.18</v>
      </c>
      <c r="F312" s="505">
        <f t="shared" si="52"/>
        <v>26116452.449999999</v>
      </c>
      <c r="G312" s="505">
        <f t="shared" si="52"/>
        <v>280</v>
      </c>
      <c r="H312" s="505">
        <f t="shared" si="52"/>
        <v>26116452</v>
      </c>
    </row>
    <row r="313" spans="1:11" s="51" customFormat="1" ht="15.75" hidden="1">
      <c r="A313" s="724"/>
      <c r="B313" s="724" t="s">
        <v>116</v>
      </c>
      <c r="C313" s="724">
        <f t="shared" ref="C313:H313" si="53">C312+C307</f>
        <v>702</v>
      </c>
      <c r="D313" s="724">
        <f t="shared" si="53"/>
        <v>48952232</v>
      </c>
      <c r="E313" s="724">
        <f t="shared" si="53"/>
        <v>288240.18</v>
      </c>
      <c r="F313" s="724">
        <f t="shared" si="53"/>
        <v>26116452.449999999</v>
      </c>
      <c r="G313" s="724">
        <f t="shared" si="53"/>
        <v>678</v>
      </c>
      <c r="H313" s="724">
        <f t="shared" si="53"/>
        <v>49130232</v>
      </c>
      <c r="J313" s="1080">
        <f>'Фонды2015-2017'!AJ215</f>
        <v>48952139.039999999</v>
      </c>
      <c r="K313" s="51">
        <f>J313-D313</f>
        <v>-92.96000000089407</v>
      </c>
    </row>
    <row r="314" spans="1:11" s="485" customFormat="1" ht="22.9" customHeight="1">
      <c r="B314" s="1770" t="s">
        <v>278</v>
      </c>
      <c r="C314" s="1770"/>
      <c r="D314" s="1770"/>
      <c r="E314" s="1110"/>
      <c r="F314" s="1110"/>
    </row>
    <row r="315" spans="1:11" s="485" customFormat="1" ht="45" hidden="1">
      <c r="A315" s="486"/>
      <c r="B315" s="46" t="s">
        <v>106</v>
      </c>
      <c r="C315" s="486"/>
      <c r="D315" s="486"/>
      <c r="E315" s="486"/>
      <c r="F315" s="486"/>
      <c r="G315" s="486"/>
      <c r="H315" s="486"/>
    </row>
    <row r="316" spans="1:11" s="485" customFormat="1" ht="31.15" hidden="1" customHeight="1">
      <c r="A316" s="486">
        <v>1</v>
      </c>
      <c r="B316" s="486" t="s">
        <v>279</v>
      </c>
      <c r="C316" s="486">
        <v>662</v>
      </c>
      <c r="D316" s="1198">
        <f>31467300+77500</f>
        <v>31544800</v>
      </c>
      <c r="E316" s="486"/>
      <c r="F316" s="486"/>
      <c r="G316" s="486">
        <v>662</v>
      </c>
      <c r="H316" s="486">
        <v>31467300</v>
      </c>
    </row>
    <row r="317" spans="1:11" s="485" customFormat="1" ht="19.899999999999999" hidden="1" customHeight="1">
      <c r="A317" s="486"/>
      <c r="B317" s="47" t="s">
        <v>108</v>
      </c>
      <c r="C317" s="48">
        <f>SUM(C316:C316)</f>
        <v>662</v>
      </c>
      <c r="D317" s="48">
        <f>SUM(D316:D316)</f>
        <v>31544800</v>
      </c>
      <c r="E317" s="48"/>
      <c r="F317" s="48"/>
      <c r="G317" s="48">
        <v>662</v>
      </c>
      <c r="H317" s="48">
        <f>SUM(H316:H316)</f>
        <v>31467300</v>
      </c>
    </row>
    <row r="318" spans="1:11" s="485" customFormat="1" ht="45">
      <c r="A318" s="486"/>
      <c r="B318" s="46" t="s">
        <v>109</v>
      </c>
      <c r="C318" s="486"/>
      <c r="D318" s="486"/>
      <c r="E318" s="486"/>
      <c r="F318" s="486"/>
      <c r="G318" s="486"/>
      <c r="H318" s="486"/>
    </row>
    <row r="319" spans="1:11" s="485" customFormat="1" ht="15.75">
      <c r="A319" s="486">
        <v>1</v>
      </c>
      <c r="B319" s="486" t="s">
        <v>280</v>
      </c>
      <c r="C319" s="486">
        <v>429</v>
      </c>
      <c r="D319" s="486">
        <v>33440193</v>
      </c>
      <c r="E319" s="37">
        <f t="shared" ref="E319:E324" si="54">ROUND(D319/C319,2)</f>
        <v>77949.17</v>
      </c>
      <c r="F319" s="40">
        <f t="shared" ref="F319:F324" si="55">ROUND(E319*C319,2)</f>
        <v>33440193.93</v>
      </c>
      <c r="G319" s="486">
        <v>457</v>
      </c>
      <c r="H319" s="486">
        <v>37132217</v>
      </c>
    </row>
    <row r="320" spans="1:11" s="485" customFormat="1" ht="15.75">
      <c r="A320" s="486">
        <v>2</v>
      </c>
      <c r="B320" s="486" t="s">
        <v>281</v>
      </c>
      <c r="C320" s="486">
        <v>216</v>
      </c>
      <c r="D320" s="486">
        <v>14414308</v>
      </c>
      <c r="E320" s="37">
        <f t="shared" si="54"/>
        <v>66732.91</v>
      </c>
      <c r="F320" s="40">
        <f t="shared" si="55"/>
        <v>14414308.560000001</v>
      </c>
      <c r="G320" s="486">
        <v>216</v>
      </c>
      <c r="H320" s="486">
        <v>14414308</v>
      </c>
    </row>
    <row r="321" spans="1:11" s="485" customFormat="1" ht="30.75">
      <c r="A321" s="486">
        <v>3</v>
      </c>
      <c r="B321" s="486" t="s">
        <v>282</v>
      </c>
      <c r="C321" s="486">
        <v>184</v>
      </c>
      <c r="D321" s="486">
        <v>16031492</v>
      </c>
      <c r="E321" s="37">
        <f t="shared" si="54"/>
        <v>87127.67</v>
      </c>
      <c r="F321" s="40">
        <f t="shared" si="55"/>
        <v>16031491.279999999</v>
      </c>
      <c r="G321" s="486">
        <v>184</v>
      </c>
      <c r="H321" s="486">
        <v>16031492</v>
      </c>
    </row>
    <row r="322" spans="1:11" s="485" customFormat="1" ht="15.75">
      <c r="A322" s="486">
        <v>4</v>
      </c>
      <c r="B322" s="486" t="s">
        <v>283</v>
      </c>
      <c r="C322" s="486">
        <v>56</v>
      </c>
      <c r="D322" s="486">
        <v>6372528</v>
      </c>
      <c r="E322" s="37">
        <f t="shared" si="54"/>
        <v>113795.14</v>
      </c>
      <c r="F322" s="40">
        <f t="shared" si="55"/>
        <v>6372527.8399999999</v>
      </c>
      <c r="G322" s="486">
        <v>56</v>
      </c>
      <c r="H322" s="486">
        <v>6372528</v>
      </c>
    </row>
    <row r="323" spans="1:11" s="485" customFormat="1" ht="30.75">
      <c r="A323" s="486">
        <v>5</v>
      </c>
      <c r="B323" s="486" t="s">
        <v>284</v>
      </c>
      <c r="C323" s="486">
        <v>28</v>
      </c>
      <c r="D323" s="486">
        <v>4314064</v>
      </c>
      <c r="E323" s="37">
        <f t="shared" si="54"/>
        <v>154073.71</v>
      </c>
      <c r="F323" s="40">
        <f t="shared" si="55"/>
        <v>4314063.88</v>
      </c>
      <c r="G323" s="486">
        <v>0</v>
      </c>
      <c r="H323" s="486">
        <v>0</v>
      </c>
    </row>
    <row r="324" spans="1:11" s="485" customFormat="1" ht="21.6" customHeight="1">
      <c r="A324" s="486">
        <v>6</v>
      </c>
      <c r="B324" s="486" t="s">
        <v>285</v>
      </c>
      <c r="C324" s="486">
        <v>108</v>
      </c>
      <c r="D324" s="486">
        <v>10328684</v>
      </c>
      <c r="E324" s="37">
        <f t="shared" si="54"/>
        <v>95635.96</v>
      </c>
      <c r="F324" s="40">
        <f t="shared" si="55"/>
        <v>10328683.68</v>
      </c>
      <c r="G324" s="486">
        <v>108</v>
      </c>
      <c r="H324" s="486">
        <v>10328684</v>
      </c>
    </row>
    <row r="325" spans="1:11" s="485" customFormat="1" ht="21.6" customHeight="1">
      <c r="A325" s="490"/>
      <c r="B325" s="491" t="s">
        <v>115</v>
      </c>
      <c r="C325" s="505">
        <f t="shared" ref="C325:H325" si="56">SUM(C319:C324)</f>
        <v>1021</v>
      </c>
      <c r="D325" s="505">
        <f t="shared" si="56"/>
        <v>84901269</v>
      </c>
      <c r="E325" s="505">
        <f t="shared" si="56"/>
        <v>595314.55999999994</v>
      </c>
      <c r="F325" s="505">
        <f t="shared" si="56"/>
        <v>84901269.169999987</v>
      </c>
      <c r="G325" s="505">
        <f t="shared" si="56"/>
        <v>1021</v>
      </c>
      <c r="H325" s="505">
        <f t="shared" si="56"/>
        <v>84279229</v>
      </c>
    </row>
    <row r="326" spans="1:11" s="51" customFormat="1" ht="19.149999999999999" hidden="1" customHeight="1">
      <c r="A326" s="724"/>
      <c r="B326" s="724" t="s">
        <v>116</v>
      </c>
      <c r="C326" s="724">
        <f t="shared" ref="C326:H326" si="57">C325+C317</f>
        <v>1683</v>
      </c>
      <c r="D326" s="724">
        <f t="shared" si="57"/>
        <v>116446069</v>
      </c>
      <c r="E326" s="724">
        <f t="shared" si="57"/>
        <v>595314.55999999994</v>
      </c>
      <c r="F326" s="724">
        <f t="shared" si="57"/>
        <v>84901269.169999987</v>
      </c>
      <c r="G326" s="724">
        <f t="shared" si="57"/>
        <v>1683</v>
      </c>
      <c r="H326" s="724">
        <f t="shared" si="57"/>
        <v>115746529</v>
      </c>
      <c r="J326" s="1080">
        <f>'Фонды2015-2017'!AJ224</f>
        <v>116368567.66000001</v>
      </c>
      <c r="K326" s="51">
        <f>J326-D326</f>
        <v>-77501.339999988675</v>
      </c>
    </row>
    <row r="327" spans="1:11" ht="22.9" customHeight="1">
      <c r="A327" s="36"/>
      <c r="B327" s="1766" t="s">
        <v>286</v>
      </c>
      <c r="C327" s="1766"/>
      <c r="D327" s="1766"/>
      <c r="E327" s="1111"/>
      <c r="F327" s="1111"/>
      <c r="I327" s="36"/>
      <c r="J327" s="36"/>
      <c r="K327" s="36"/>
    </row>
    <row r="328" spans="1:11" ht="30" hidden="1" customHeight="1">
      <c r="A328" s="37"/>
      <c r="B328" s="38" t="s">
        <v>106</v>
      </c>
      <c r="C328" s="37"/>
      <c r="D328" s="37"/>
      <c r="E328" s="37"/>
      <c r="F328" s="37"/>
      <c r="G328" s="37"/>
      <c r="H328" s="37"/>
      <c r="I328" s="36"/>
      <c r="J328" s="36"/>
      <c r="K328" s="36"/>
    </row>
    <row r="329" spans="1:11" ht="31.5" hidden="1">
      <c r="A329" s="37">
        <v>1</v>
      </c>
      <c r="B329" s="73" t="s">
        <v>287</v>
      </c>
      <c r="C329" s="37">
        <v>678</v>
      </c>
      <c r="D329" s="58">
        <v>33157658.18</v>
      </c>
      <c r="E329" s="58"/>
      <c r="F329" s="58"/>
      <c r="G329" s="37">
        <v>689</v>
      </c>
      <c r="H329" s="58">
        <v>32576658.184680007</v>
      </c>
      <c r="I329" s="36"/>
      <c r="J329" s="58">
        <v>33157658.18</v>
      </c>
      <c r="K329" s="36"/>
    </row>
    <row r="330" spans="1:11" ht="31.5" hidden="1">
      <c r="A330" s="37">
        <v>2</v>
      </c>
      <c r="B330" s="73" t="s">
        <v>288</v>
      </c>
      <c r="C330" s="37">
        <v>556</v>
      </c>
      <c r="D330" s="58">
        <v>28271471.449999999</v>
      </c>
      <c r="E330" s="58"/>
      <c r="F330" s="58"/>
      <c r="G330" s="37">
        <v>618</v>
      </c>
      <c r="H330" s="58">
        <v>32486999.149999999</v>
      </c>
      <c r="I330" s="36"/>
      <c r="J330" s="58">
        <v>28271471.449999999</v>
      </c>
      <c r="K330" s="36"/>
    </row>
    <row r="331" spans="1:11" ht="31.5" hidden="1">
      <c r="A331" s="37">
        <v>3</v>
      </c>
      <c r="B331" s="73" t="s">
        <v>289</v>
      </c>
      <c r="C331" s="37">
        <v>461</v>
      </c>
      <c r="D331" s="58">
        <v>22379971.489999998</v>
      </c>
      <c r="E331" s="58"/>
      <c r="F331" s="58"/>
      <c r="G331" s="37">
        <v>478</v>
      </c>
      <c r="H331" s="58">
        <v>22083971.4888</v>
      </c>
      <c r="I331" s="36"/>
      <c r="J331" s="58">
        <v>22379971.489999998</v>
      </c>
      <c r="K331" s="36"/>
    </row>
    <row r="332" spans="1:11" ht="24.6" hidden="1" customHeight="1">
      <c r="A332" s="37">
        <v>4</v>
      </c>
      <c r="B332" s="73" t="s">
        <v>290</v>
      </c>
      <c r="C332" s="37">
        <v>480</v>
      </c>
      <c r="D332" s="58">
        <v>17713936.829999998</v>
      </c>
      <c r="E332" s="58"/>
      <c r="F332" s="58"/>
      <c r="G332" s="37">
        <v>492</v>
      </c>
      <c r="H332" s="58">
        <v>17363936.829999998</v>
      </c>
      <c r="I332" s="36"/>
      <c r="J332" s="58">
        <v>17713936.829999998</v>
      </c>
      <c r="K332" s="36"/>
    </row>
    <row r="333" spans="1:11" ht="22.9" hidden="1" customHeight="1">
      <c r="A333" s="37"/>
      <c r="B333" s="42" t="s">
        <v>108</v>
      </c>
      <c r="C333" s="43">
        <f>SUM(C329:C332)</f>
        <v>2175</v>
      </c>
      <c r="D333" s="510">
        <f>SUM(D329:D332)</f>
        <v>101523037.94999999</v>
      </c>
      <c r="E333" s="510"/>
      <c r="F333" s="510"/>
      <c r="G333" s="510">
        <f>SUM(G329:G332)</f>
        <v>2277</v>
      </c>
      <c r="H333" s="510">
        <f>SUM(H329:H332)</f>
        <v>104511565.65348001</v>
      </c>
      <c r="I333" s="36"/>
      <c r="J333" s="510">
        <f>SUM(J329:J332)</f>
        <v>101523037.94999999</v>
      </c>
      <c r="K333" s="36"/>
    </row>
    <row r="334" spans="1:11" ht="45">
      <c r="A334" s="37"/>
      <c r="B334" s="38" t="s">
        <v>109</v>
      </c>
      <c r="C334" s="37"/>
      <c r="D334" s="37"/>
      <c r="E334" s="37"/>
      <c r="F334" s="37"/>
      <c r="G334" s="37"/>
      <c r="H334" s="37"/>
      <c r="I334" s="36"/>
      <c r="J334" s="37"/>
      <c r="K334" s="36"/>
    </row>
    <row r="335" spans="1:11" ht="31.5">
      <c r="A335" s="37">
        <v>1</v>
      </c>
      <c r="B335" s="71" t="s">
        <v>291</v>
      </c>
      <c r="C335" s="1199">
        <v>74</v>
      </c>
      <c r="D335" s="38">
        <f>7282338.74+0.74</f>
        <v>7282339.4800000004</v>
      </c>
      <c r="E335" s="37">
        <f t="shared" ref="E335:E341" si="58">ROUND(D335/C335,2)</f>
        <v>98409.99</v>
      </c>
      <c r="F335" s="40">
        <f t="shared" ref="F335:F341" si="59">ROUND(E335*C335,2)</f>
        <v>7282339.2599999998</v>
      </c>
      <c r="G335" s="37">
        <v>71</v>
      </c>
      <c r="H335" s="75">
        <v>7173338.7400000002</v>
      </c>
      <c r="I335" s="36"/>
      <c r="J335" s="37">
        <v>7282338.7400000002</v>
      </c>
      <c r="K335" s="36"/>
    </row>
    <row r="336" spans="1:11" ht="20.25" customHeight="1">
      <c r="A336" s="37">
        <v>2</v>
      </c>
      <c r="B336" s="71" t="s">
        <v>292</v>
      </c>
      <c r="C336" s="75">
        <v>41</v>
      </c>
      <c r="D336" s="424">
        <f>6305242.5</f>
        <v>6305242.5</v>
      </c>
      <c r="E336" s="37">
        <f t="shared" si="58"/>
        <v>153786.4</v>
      </c>
      <c r="F336" s="40">
        <f t="shared" si="59"/>
        <v>6305242.4000000004</v>
      </c>
      <c r="G336" s="37">
        <v>46</v>
      </c>
      <c r="H336" s="75">
        <v>6131242.5</v>
      </c>
      <c r="I336" s="36"/>
      <c r="J336" s="37">
        <v>6305242.5</v>
      </c>
      <c r="K336" s="36"/>
    </row>
    <row r="337" spans="1:11" ht="24.75" customHeight="1">
      <c r="A337" s="37">
        <v>3</v>
      </c>
      <c r="B337" s="71" t="s">
        <v>293</v>
      </c>
      <c r="C337" s="75">
        <v>276</v>
      </c>
      <c r="D337" s="37">
        <v>19814362.399999999</v>
      </c>
      <c r="E337" s="37">
        <f t="shared" si="58"/>
        <v>71791.17</v>
      </c>
      <c r="F337" s="40">
        <f t="shared" si="59"/>
        <v>19814362.920000002</v>
      </c>
      <c r="G337" s="37">
        <v>275</v>
      </c>
      <c r="H337" s="75">
        <v>19341362.399999999</v>
      </c>
      <c r="I337" s="36"/>
      <c r="J337" s="37">
        <v>19814362.399999999</v>
      </c>
      <c r="K337" s="36"/>
    </row>
    <row r="338" spans="1:11" ht="15.75">
      <c r="A338" s="37">
        <v>4</v>
      </c>
      <c r="B338" s="71" t="s">
        <v>294</v>
      </c>
      <c r="C338" s="75">
        <v>112</v>
      </c>
      <c r="D338" s="37">
        <v>11059314.4</v>
      </c>
      <c r="E338" s="37">
        <f t="shared" si="58"/>
        <v>98743.88</v>
      </c>
      <c r="F338" s="40">
        <f t="shared" si="59"/>
        <v>11059314.560000001</v>
      </c>
      <c r="G338" s="37">
        <v>122</v>
      </c>
      <c r="H338" s="75">
        <v>10799314.4</v>
      </c>
      <c r="I338" s="36"/>
      <c r="J338" s="37">
        <v>11059314.4</v>
      </c>
      <c r="K338" s="36"/>
    </row>
    <row r="339" spans="1:11" ht="15.75">
      <c r="A339" s="37">
        <v>5</v>
      </c>
      <c r="B339" s="71" t="s">
        <v>295</v>
      </c>
      <c r="C339" s="75">
        <v>101</v>
      </c>
      <c r="D339" s="37">
        <v>9734645.4199999999</v>
      </c>
      <c r="E339" s="37">
        <f t="shared" si="58"/>
        <v>96382.63</v>
      </c>
      <c r="F339" s="40">
        <f t="shared" si="59"/>
        <v>9734645.6300000008</v>
      </c>
      <c r="G339" s="37">
        <v>100</v>
      </c>
      <c r="H339" s="75">
        <v>9524645.4199999999</v>
      </c>
      <c r="I339" s="36"/>
      <c r="J339" s="37">
        <v>9734645.4199999999</v>
      </c>
      <c r="K339" s="36"/>
    </row>
    <row r="340" spans="1:11" ht="15.75">
      <c r="A340" s="37">
        <v>6</v>
      </c>
      <c r="B340" s="71" t="s">
        <v>296</v>
      </c>
      <c r="C340" s="75">
        <v>131</v>
      </c>
      <c r="D340" s="37">
        <v>17359712.120000001</v>
      </c>
      <c r="E340" s="37">
        <f t="shared" si="58"/>
        <v>132516.89000000001</v>
      </c>
      <c r="F340" s="40">
        <f t="shared" si="59"/>
        <v>17359712.59</v>
      </c>
      <c r="G340" s="37">
        <v>114</v>
      </c>
      <c r="H340" s="75">
        <v>16967712.120000001</v>
      </c>
      <c r="I340" s="36"/>
      <c r="J340" s="37">
        <v>17359712.120000001</v>
      </c>
      <c r="K340" s="36"/>
    </row>
    <row r="341" spans="1:11" ht="22.9" customHeight="1">
      <c r="A341" s="37">
        <v>7</v>
      </c>
      <c r="B341" s="71" t="s">
        <v>297</v>
      </c>
      <c r="C341" s="75">
        <v>181</v>
      </c>
      <c r="D341" s="37">
        <v>13311679.859999999</v>
      </c>
      <c r="E341" s="37">
        <f t="shared" si="58"/>
        <v>73545.19</v>
      </c>
      <c r="F341" s="40">
        <f t="shared" si="59"/>
        <v>13311679.390000001</v>
      </c>
      <c r="G341" s="37">
        <v>183</v>
      </c>
      <c r="H341" s="75">
        <v>13004679.859999999</v>
      </c>
      <c r="I341" s="36"/>
      <c r="J341" s="37">
        <v>13311679.859999999</v>
      </c>
      <c r="K341" s="36"/>
    </row>
    <row r="342" spans="1:11" ht="22.9" customHeight="1">
      <c r="A342" s="41"/>
      <c r="B342" s="42" t="s">
        <v>115</v>
      </c>
      <c r="C342" s="60">
        <f t="shared" ref="C342:H342" si="60">SUM(C335:C341)</f>
        <v>916</v>
      </c>
      <c r="D342" s="60">
        <f t="shared" si="60"/>
        <v>84867296.180000007</v>
      </c>
      <c r="E342" s="60">
        <f t="shared" si="60"/>
        <v>725176.14999999991</v>
      </c>
      <c r="F342" s="60">
        <f t="shared" si="60"/>
        <v>84867296.75</v>
      </c>
      <c r="G342" s="60">
        <f t="shared" si="60"/>
        <v>911</v>
      </c>
      <c r="H342" s="60">
        <f t="shared" si="60"/>
        <v>82942295.439999998</v>
      </c>
      <c r="I342" s="36"/>
      <c r="J342" s="36"/>
      <c r="K342" s="36"/>
    </row>
    <row r="343" spans="1:11" s="45" customFormat="1" ht="19.149999999999999" hidden="1" customHeight="1">
      <c r="A343" s="44"/>
      <c r="B343" s="44" t="s">
        <v>116</v>
      </c>
      <c r="C343" s="61">
        <f t="shared" ref="C343:H343" si="61">C342+C333</f>
        <v>3091</v>
      </c>
      <c r="D343" s="61">
        <f t="shared" si="61"/>
        <v>186390334.13</v>
      </c>
      <c r="E343" s="61">
        <f t="shared" si="61"/>
        <v>725176.14999999991</v>
      </c>
      <c r="F343" s="61">
        <f t="shared" si="61"/>
        <v>84867296.75</v>
      </c>
      <c r="G343" s="61">
        <f t="shared" si="61"/>
        <v>3188</v>
      </c>
      <c r="H343" s="61">
        <f t="shared" si="61"/>
        <v>187453861.09347999</v>
      </c>
      <c r="J343" s="1080">
        <f>'Фонды2015-2017'!AJ233</f>
        <v>186390333.38999999</v>
      </c>
      <c r="K343" s="51">
        <f>J343-D343</f>
        <v>-0.74000000953674316</v>
      </c>
    </row>
    <row r="344" spans="1:11" s="485" customFormat="1" ht="22.15" hidden="1" customHeight="1">
      <c r="B344" s="1770" t="s">
        <v>298</v>
      </c>
      <c r="C344" s="1770"/>
      <c r="D344" s="1770"/>
      <c r="E344" s="1110"/>
      <c r="F344" s="1110"/>
    </row>
    <row r="345" spans="1:11" s="476" customFormat="1" ht="58.15" hidden="1" customHeight="1">
      <c r="A345" s="473"/>
      <c r="B345" s="474" t="s">
        <v>106</v>
      </c>
      <c r="C345" s="473"/>
      <c r="D345" s="473"/>
      <c r="E345" s="473"/>
      <c r="F345" s="473"/>
      <c r="G345" s="473"/>
      <c r="H345" s="473"/>
    </row>
    <row r="346" spans="1:11" s="476" customFormat="1" hidden="1">
      <c r="A346" s="473">
        <v>1</v>
      </c>
      <c r="B346" s="473" t="s">
        <v>299</v>
      </c>
      <c r="C346" s="530">
        <v>1120</v>
      </c>
      <c r="D346" s="530">
        <v>41465274.57</v>
      </c>
      <c r="E346" s="530"/>
      <c r="F346" s="530"/>
      <c r="G346" s="530">
        <v>1127</v>
      </c>
      <c r="H346" s="530">
        <v>41897953.280000001</v>
      </c>
    </row>
    <row r="347" spans="1:11" s="476" customFormat="1" hidden="1">
      <c r="A347" s="473">
        <v>2</v>
      </c>
      <c r="B347" s="473" t="s">
        <v>300</v>
      </c>
      <c r="C347" s="530">
        <v>519</v>
      </c>
      <c r="D347" s="530">
        <v>18722150.98</v>
      </c>
      <c r="E347" s="530"/>
      <c r="F347" s="530"/>
      <c r="G347" s="530">
        <v>526</v>
      </c>
      <c r="H347" s="530">
        <v>19126492.140000001</v>
      </c>
    </row>
    <row r="348" spans="1:11" s="476" customFormat="1" hidden="1">
      <c r="A348" s="473">
        <v>3</v>
      </c>
      <c r="B348" s="473" t="s">
        <v>301</v>
      </c>
      <c r="C348" s="530">
        <v>521</v>
      </c>
      <c r="D348" s="530">
        <v>18897512.399999999</v>
      </c>
      <c r="E348" s="530"/>
      <c r="F348" s="530"/>
      <c r="G348" s="530">
        <v>537</v>
      </c>
      <c r="H348" s="530">
        <v>19477858.27</v>
      </c>
    </row>
    <row r="349" spans="1:11" s="476" customFormat="1" hidden="1">
      <c r="A349" s="473">
        <v>4</v>
      </c>
      <c r="B349" s="473" t="s">
        <v>302</v>
      </c>
      <c r="C349" s="530">
        <v>868</v>
      </c>
      <c r="D349" s="530">
        <v>34040893.549999997</v>
      </c>
      <c r="E349" s="530"/>
      <c r="F349" s="530"/>
      <c r="G349" s="530">
        <v>897</v>
      </c>
      <c r="H349" s="530">
        <v>35330031.109999999</v>
      </c>
    </row>
    <row r="350" spans="1:11" s="476" customFormat="1" hidden="1">
      <c r="A350" s="473">
        <v>5</v>
      </c>
      <c r="B350" s="473" t="s">
        <v>303</v>
      </c>
      <c r="C350" s="530">
        <v>537</v>
      </c>
      <c r="D350" s="530">
        <v>19606529.039999999</v>
      </c>
      <c r="E350" s="530"/>
      <c r="F350" s="530"/>
      <c r="G350" s="530">
        <v>529</v>
      </c>
      <c r="H350" s="530">
        <v>19314439.219999999</v>
      </c>
    </row>
    <row r="351" spans="1:11" s="476" customFormat="1" ht="21" hidden="1" customHeight="1">
      <c r="A351" s="473">
        <v>6</v>
      </c>
      <c r="B351" s="473" t="s">
        <v>304</v>
      </c>
      <c r="C351" s="530">
        <v>442</v>
      </c>
      <c r="D351" s="530">
        <v>15205417.4</v>
      </c>
      <c r="E351" s="530"/>
      <c r="F351" s="530"/>
      <c r="G351" s="530">
        <v>452</v>
      </c>
      <c r="H351" s="530">
        <v>15701552.18</v>
      </c>
    </row>
    <row r="352" spans="1:11" s="476" customFormat="1" ht="26.45" hidden="1" customHeight="1">
      <c r="A352" s="473"/>
      <c r="B352" s="477" t="s">
        <v>108</v>
      </c>
      <c r="C352" s="479">
        <f>SUM(C346:C351)</f>
        <v>4007</v>
      </c>
      <c r="D352" s="479">
        <f>SUM(D346:D351)</f>
        <v>147937777.94</v>
      </c>
      <c r="E352" s="479"/>
      <c r="F352" s="479"/>
      <c r="G352" s="479">
        <f>SUM(G346:G351)</f>
        <v>4068</v>
      </c>
      <c r="H352" s="479">
        <f>SUM(H346:H351)</f>
        <v>150848326.19999999</v>
      </c>
    </row>
    <row r="353" spans="1:14" s="476" customFormat="1" ht="20.45" hidden="1" customHeight="1">
      <c r="A353" s="473"/>
      <c r="B353" s="474" t="s">
        <v>109</v>
      </c>
      <c r="C353" s="473"/>
      <c r="D353" s="473"/>
      <c r="E353" s="473"/>
      <c r="F353" s="473"/>
      <c r="G353" s="473"/>
      <c r="H353" s="473"/>
    </row>
    <row r="354" spans="1:14" s="476" customFormat="1" ht="20.45" hidden="1" customHeight="1">
      <c r="A354" s="808"/>
      <c r="B354" s="809" t="s">
        <v>115</v>
      </c>
      <c r="C354" s="483">
        <f>C353</f>
        <v>0</v>
      </c>
      <c r="D354" s="483">
        <f>D353</f>
        <v>0</v>
      </c>
      <c r="E354" s="483"/>
      <c r="F354" s="483"/>
      <c r="G354" s="483">
        <f>G353</f>
        <v>0</v>
      </c>
      <c r="H354" s="483">
        <f>H353</f>
        <v>0</v>
      </c>
    </row>
    <row r="355" spans="1:14" s="484" customFormat="1" ht="19.149999999999999" hidden="1" customHeight="1">
      <c r="A355" s="483"/>
      <c r="B355" s="483" t="s">
        <v>116</v>
      </c>
      <c r="C355" s="483">
        <f>C354+C352</f>
        <v>4007</v>
      </c>
      <c r="D355" s="483">
        <f>D354+D352</f>
        <v>147937777.94</v>
      </c>
      <c r="E355" s="483"/>
      <c r="F355" s="483"/>
      <c r="G355" s="483">
        <f>G354+G352</f>
        <v>4068</v>
      </c>
      <c r="H355" s="810">
        <f>H354+H352</f>
        <v>150848326.19999999</v>
      </c>
      <c r="J355" s="1080">
        <f>'Фонды2015-2017'!AJ242</f>
        <v>148404543.28</v>
      </c>
      <c r="K355" s="51">
        <f>J355-D355</f>
        <v>466765.34000000358</v>
      </c>
    </row>
    <row r="356" spans="1:14" ht="18.600000000000001" customHeight="1">
      <c r="B356" s="1766" t="s">
        <v>87</v>
      </c>
      <c r="C356" s="1766"/>
      <c r="D356" s="1766"/>
      <c r="E356" s="916"/>
      <c r="F356" s="916"/>
      <c r="G356" s="37"/>
      <c r="H356" s="37"/>
      <c r="I356" s="36"/>
      <c r="J356" s="36"/>
      <c r="K356" s="36"/>
    </row>
    <row r="357" spans="1:14" ht="45" hidden="1">
      <c r="B357" s="52" t="s">
        <v>106</v>
      </c>
      <c r="D357" s="37"/>
      <c r="E357" s="37"/>
      <c r="F357" s="37"/>
      <c r="G357" s="37"/>
      <c r="H357" s="37"/>
      <c r="I357" s="36"/>
      <c r="J357" s="36"/>
      <c r="K357" s="36"/>
    </row>
    <row r="358" spans="1:14" ht="16.899999999999999" hidden="1" customHeight="1">
      <c r="A358" s="512">
        <v>1</v>
      </c>
      <c r="B358" s="40" t="s">
        <v>305</v>
      </c>
      <c r="C358" s="464"/>
      <c r="D358" s="37">
        <v>29351.56</v>
      </c>
      <c r="E358" s="37"/>
      <c r="F358" s="37"/>
      <c r="G358" s="37"/>
      <c r="H358" s="37"/>
      <c r="I358" s="36"/>
      <c r="J358" s="36"/>
      <c r="K358" s="36"/>
    </row>
    <row r="359" spans="1:14" ht="24.6" hidden="1" customHeight="1">
      <c r="A359" s="467"/>
      <c r="B359" s="40" t="s">
        <v>306</v>
      </c>
      <c r="C359" s="513"/>
      <c r="D359" s="40"/>
      <c r="E359" s="40"/>
      <c r="F359" s="40"/>
      <c r="G359" s="37"/>
      <c r="H359" s="40"/>
      <c r="I359" s="36"/>
      <c r="J359" s="72"/>
      <c r="K359" s="36"/>
      <c r="L359" s="72"/>
      <c r="N359" s="72"/>
    </row>
    <row r="360" spans="1:14" ht="60" hidden="1">
      <c r="A360" s="467"/>
      <c r="B360" s="39" t="s">
        <v>108</v>
      </c>
      <c r="C360" s="74">
        <f>C359+C358</f>
        <v>0</v>
      </c>
      <c r="D360" s="74">
        <f>D359+D358</f>
        <v>29351.56</v>
      </c>
      <c r="E360" s="74"/>
      <c r="F360" s="74"/>
      <c r="G360" s="74">
        <f>G359+G358</f>
        <v>0</v>
      </c>
      <c r="H360" s="74">
        <v>0</v>
      </c>
      <c r="I360" s="36"/>
      <c r="J360" s="72"/>
      <c r="K360" s="36"/>
      <c r="L360" s="72"/>
      <c r="N360" s="72"/>
    </row>
    <row r="361" spans="1:14" ht="15.75">
      <c r="A361" s="467">
        <v>2</v>
      </c>
      <c r="B361" s="37" t="s">
        <v>307</v>
      </c>
      <c r="C361" s="464">
        <v>244</v>
      </c>
      <c r="D361" s="466">
        <v>16450636.699999999</v>
      </c>
      <c r="E361" s="37">
        <f>ROUND(D361/C361,2)</f>
        <v>67420.639999999999</v>
      </c>
      <c r="F361" s="40">
        <f>ROUND(E361*C361,2)</f>
        <v>16450636.16</v>
      </c>
      <c r="G361" s="68"/>
      <c r="H361" s="37"/>
      <c r="I361" s="36"/>
      <c r="J361" s="36"/>
      <c r="K361" s="36"/>
    </row>
    <row r="362" spans="1:14" ht="22.9" customHeight="1">
      <c r="A362" s="467">
        <v>3</v>
      </c>
      <c r="B362" s="37" t="s">
        <v>308</v>
      </c>
      <c r="C362" s="464">
        <v>197</v>
      </c>
      <c r="D362" s="466">
        <v>18694585.100000001</v>
      </c>
      <c r="E362" s="37">
        <f>ROUND(D362/C362,2)</f>
        <v>94896.37</v>
      </c>
      <c r="F362" s="40">
        <f>ROUND(E362*C362,2)</f>
        <v>18694584.890000001</v>
      </c>
      <c r="G362" s="68"/>
      <c r="H362" s="37"/>
      <c r="I362" s="36"/>
      <c r="J362" s="36"/>
      <c r="K362" s="36"/>
    </row>
    <row r="363" spans="1:14" ht="21" customHeight="1">
      <c r="A363" s="468"/>
      <c r="B363" s="42" t="s">
        <v>115</v>
      </c>
      <c r="C363" s="514">
        <f t="shared" ref="C363:H363" si="62">C362+C361</f>
        <v>441</v>
      </c>
      <c r="D363" s="60">
        <f t="shared" si="62"/>
        <v>35145221.799999997</v>
      </c>
      <c r="E363" s="60">
        <f t="shared" si="62"/>
        <v>162317.01</v>
      </c>
      <c r="F363" s="60">
        <f t="shared" si="62"/>
        <v>35145221.049999997</v>
      </c>
      <c r="G363" s="60">
        <f t="shared" si="62"/>
        <v>0</v>
      </c>
      <c r="H363" s="60">
        <f t="shared" si="62"/>
        <v>0</v>
      </c>
      <c r="I363" s="36"/>
      <c r="J363" s="1080">
        <f>'Фонды2015-2017'!AJ8</f>
        <v>1847570018.47</v>
      </c>
      <c r="K363" s="51">
        <f>J363-D363</f>
        <v>1812424796.6700001</v>
      </c>
      <c r="N363" s="72"/>
    </row>
    <row r="364" spans="1:14" s="45" customFormat="1" ht="19.149999999999999" customHeight="1">
      <c r="A364" s="470"/>
      <c r="B364" s="44" t="s">
        <v>116</v>
      </c>
      <c r="C364" s="471">
        <f t="shared" ref="C364:H364" si="63">C363+C360</f>
        <v>441</v>
      </c>
      <c r="D364" s="44">
        <f t="shared" si="63"/>
        <v>35174573.359999999</v>
      </c>
      <c r="E364" s="44">
        <f t="shared" si="63"/>
        <v>162317.01</v>
      </c>
      <c r="F364" s="44">
        <f t="shared" si="63"/>
        <v>35145221.049999997</v>
      </c>
      <c r="G364" s="44">
        <f t="shared" si="63"/>
        <v>0</v>
      </c>
      <c r="H364" s="44">
        <f t="shared" si="63"/>
        <v>0</v>
      </c>
    </row>
    <row r="365" spans="1:14" ht="21.6" customHeight="1">
      <c r="B365" s="1766" t="s">
        <v>309</v>
      </c>
      <c r="C365" s="1766"/>
      <c r="D365" s="1766"/>
      <c r="E365" s="1111"/>
      <c r="F365" s="1111"/>
      <c r="H365" s="37"/>
      <c r="I365" s="36"/>
      <c r="J365" s="36"/>
      <c r="K365" s="36"/>
    </row>
    <row r="366" spans="1:14" ht="45">
      <c r="A366" s="467"/>
      <c r="B366" s="38" t="s">
        <v>106</v>
      </c>
      <c r="C366" s="531"/>
      <c r="D366" s="499"/>
      <c r="E366" s="499"/>
      <c r="F366" s="499"/>
      <c r="G366" s="499"/>
      <c r="H366" s="499"/>
      <c r="I366" s="36"/>
      <c r="J366" s="36"/>
      <c r="K366" s="36"/>
    </row>
    <row r="367" spans="1:14">
      <c r="A367" s="467">
        <v>1</v>
      </c>
      <c r="B367" s="37" t="s">
        <v>299</v>
      </c>
      <c r="C367" s="531">
        <v>479</v>
      </c>
      <c r="D367" s="499">
        <v>18388300</v>
      </c>
      <c r="E367" s="523"/>
      <c r="F367" s="523"/>
      <c r="G367" s="530">
        <v>498</v>
      </c>
      <c r="H367" s="499">
        <v>18388300</v>
      </c>
      <c r="I367" s="36"/>
      <c r="J367" s="36"/>
      <c r="K367" s="36"/>
    </row>
    <row r="368" spans="1:14">
      <c r="A368" s="467">
        <v>2</v>
      </c>
      <c r="B368" s="37" t="s">
        <v>310</v>
      </c>
      <c r="C368" s="531">
        <v>249</v>
      </c>
      <c r="D368" s="499">
        <v>9257767.0299999993</v>
      </c>
      <c r="E368" s="523"/>
      <c r="F368" s="523"/>
      <c r="G368" s="530">
        <v>252</v>
      </c>
      <c r="H368" s="499">
        <v>9387941.6899999995</v>
      </c>
      <c r="I368" s="36"/>
      <c r="J368" s="36"/>
      <c r="K368" s="36"/>
    </row>
    <row r="369" spans="1:11">
      <c r="A369" s="467">
        <v>3</v>
      </c>
      <c r="B369" s="37" t="s">
        <v>301</v>
      </c>
      <c r="C369" s="531">
        <v>692</v>
      </c>
      <c r="D369" s="499">
        <v>24997203.52</v>
      </c>
      <c r="E369" s="523"/>
      <c r="F369" s="523"/>
      <c r="G369" s="530">
        <v>703</v>
      </c>
      <c r="H369" s="499">
        <v>25203943.66</v>
      </c>
      <c r="I369" s="36"/>
      <c r="J369" s="36"/>
      <c r="K369" s="36"/>
    </row>
    <row r="370" spans="1:11">
      <c r="A370" s="467">
        <v>4</v>
      </c>
      <c r="B370" s="37" t="s">
        <v>303</v>
      </c>
      <c r="C370" s="531">
        <v>989</v>
      </c>
      <c r="D370" s="499">
        <v>36126506.030000001</v>
      </c>
      <c r="E370" s="523"/>
      <c r="F370" s="523"/>
      <c r="G370" s="530">
        <v>1000</v>
      </c>
      <c r="H370" s="499">
        <v>36420649.159999996</v>
      </c>
      <c r="I370" s="36"/>
      <c r="J370" s="36"/>
      <c r="K370" s="36"/>
    </row>
    <row r="371" spans="1:11" ht="24" customHeight="1">
      <c r="A371" s="467">
        <v>5</v>
      </c>
      <c r="B371" s="37" t="s">
        <v>311</v>
      </c>
      <c r="C371" s="464">
        <v>390</v>
      </c>
      <c r="D371" s="37">
        <v>14809688.75</v>
      </c>
      <c r="E371" s="62"/>
      <c r="F371" s="62"/>
      <c r="G371" s="473">
        <v>381</v>
      </c>
      <c r="H371" s="37">
        <v>14574670.23</v>
      </c>
      <c r="I371" s="36"/>
      <c r="J371" s="36"/>
      <c r="K371" s="36"/>
    </row>
    <row r="372" spans="1:11" ht="60.75">
      <c r="A372" s="467"/>
      <c r="B372" s="39" t="s">
        <v>108</v>
      </c>
      <c r="C372" s="513">
        <f>SUM(C367:C371)</f>
        <v>2799</v>
      </c>
      <c r="D372" s="40">
        <f>SUM(D367:D371)</f>
        <v>103579465.33</v>
      </c>
      <c r="E372" s="40"/>
      <c r="F372" s="40"/>
      <c r="G372" s="40">
        <f>SUM(G367:G371)</f>
        <v>2834</v>
      </c>
      <c r="H372" s="40">
        <f>SUM(H367:H371)</f>
        <v>103975504.73999999</v>
      </c>
      <c r="I372" s="36"/>
      <c r="J372" s="36"/>
      <c r="K372" s="36"/>
    </row>
    <row r="373" spans="1:11" ht="15.75">
      <c r="A373" s="470"/>
      <c r="B373" s="44" t="s">
        <v>116</v>
      </c>
      <c r="C373" s="471">
        <f>C372</f>
        <v>2799</v>
      </c>
      <c r="D373" s="61">
        <f>D372</f>
        <v>103579465.33</v>
      </c>
      <c r="E373" s="61"/>
      <c r="F373" s="61"/>
      <c r="G373" s="61">
        <f>G372</f>
        <v>2834</v>
      </c>
      <c r="H373" s="61">
        <f>H372</f>
        <v>103975504.73999999</v>
      </c>
      <c r="I373" s="36"/>
      <c r="J373" s="1080">
        <f>'Фонды2015-2017'!AJ251</f>
        <v>102597691.45</v>
      </c>
      <c r="K373" s="51">
        <f>J373-D373</f>
        <v>-981773.87999999523</v>
      </c>
    </row>
    <row r="374" spans="1:11" ht="24" customHeight="1">
      <c r="A374" s="36"/>
      <c r="B374" s="1766" t="s">
        <v>312</v>
      </c>
      <c r="C374" s="1766"/>
      <c r="D374" s="1766"/>
      <c r="E374" s="1111"/>
      <c r="F374" s="1111"/>
      <c r="H374" s="37"/>
      <c r="I374" s="36"/>
      <c r="J374" s="36"/>
      <c r="K374" s="36"/>
    </row>
    <row r="375" spans="1:11" ht="45">
      <c r="A375" s="37"/>
      <c r="B375" s="38" t="s">
        <v>106</v>
      </c>
      <c r="C375" s="37"/>
      <c r="D375" s="37"/>
      <c r="E375" s="37"/>
      <c r="F375" s="37"/>
      <c r="G375" s="37"/>
      <c r="H375" s="37"/>
      <c r="I375" s="36"/>
      <c r="J375" s="36"/>
      <c r="K375" s="36"/>
    </row>
    <row r="376" spans="1:11" ht="63">
      <c r="A376" s="37">
        <v>1</v>
      </c>
      <c r="B376" s="76" t="s">
        <v>313</v>
      </c>
      <c r="C376" s="77">
        <f>421+203+29</f>
        <v>653</v>
      </c>
      <c r="D376" s="75">
        <v>32604079.829999998</v>
      </c>
      <c r="E376" s="75"/>
      <c r="F376" s="75"/>
      <c r="G376" s="58">
        <v>649</v>
      </c>
      <c r="H376" s="75">
        <v>32604079.829999998</v>
      </c>
      <c r="I376" s="36"/>
      <c r="J376" s="36"/>
      <c r="K376" s="36"/>
    </row>
    <row r="377" spans="1:11" ht="15.75">
      <c r="A377" s="37">
        <v>2</v>
      </c>
      <c r="B377" s="76" t="s">
        <v>314</v>
      </c>
      <c r="C377" s="77">
        <v>815</v>
      </c>
      <c r="D377" s="58">
        <v>28955925.649999999</v>
      </c>
      <c r="E377" s="58"/>
      <c r="F377" s="58"/>
      <c r="G377" s="58">
        <v>810</v>
      </c>
      <c r="H377" s="58">
        <v>28961935.420000002</v>
      </c>
      <c r="I377" s="36"/>
      <c r="J377" s="36"/>
      <c r="K377" s="36"/>
    </row>
    <row r="378" spans="1:11" ht="15.75">
      <c r="A378" s="37">
        <v>3</v>
      </c>
      <c r="B378" s="76" t="s">
        <v>301</v>
      </c>
      <c r="C378" s="77">
        <v>307</v>
      </c>
      <c r="D378" s="58">
        <v>10941304.119999999</v>
      </c>
      <c r="E378" s="58"/>
      <c r="F378" s="58"/>
      <c r="G378" s="58">
        <v>309</v>
      </c>
      <c r="H378" s="58">
        <v>11089857.52</v>
      </c>
      <c r="I378" s="36"/>
      <c r="J378" s="36"/>
      <c r="K378" s="36"/>
    </row>
    <row r="379" spans="1:11" ht="15.75">
      <c r="A379" s="37">
        <v>4</v>
      </c>
      <c r="B379" s="76" t="s">
        <v>302</v>
      </c>
      <c r="C379" s="77">
        <v>960</v>
      </c>
      <c r="D379" s="58">
        <v>33968254.189999998</v>
      </c>
      <c r="E379" s="58"/>
      <c r="F379" s="58"/>
      <c r="G379" s="58">
        <v>960</v>
      </c>
      <c r="H379" s="58">
        <v>33884589.810000002</v>
      </c>
      <c r="I379" s="36"/>
      <c r="J379" s="36"/>
      <c r="K379" s="36"/>
    </row>
    <row r="380" spans="1:11" ht="33" customHeight="1">
      <c r="A380" s="37">
        <v>5</v>
      </c>
      <c r="B380" s="76" t="s">
        <v>315</v>
      </c>
      <c r="C380" s="77">
        <v>286</v>
      </c>
      <c r="D380" s="58">
        <v>10213547.859999999</v>
      </c>
      <c r="E380" s="58"/>
      <c r="F380" s="58"/>
      <c r="G380" s="58">
        <v>305</v>
      </c>
      <c r="H380" s="58">
        <v>10796619.91</v>
      </c>
      <c r="I380" s="36"/>
      <c r="J380" s="36"/>
      <c r="K380" s="36"/>
    </row>
    <row r="381" spans="1:11" ht="31.9" customHeight="1">
      <c r="A381" s="37"/>
      <c r="B381" s="39" t="s">
        <v>108</v>
      </c>
      <c r="C381" s="57">
        <f>SUM(C376:C380)</f>
        <v>3021</v>
      </c>
      <c r="D381" s="57">
        <f>SUM(D376:D380)</f>
        <v>116683111.64999999</v>
      </c>
      <c r="E381" s="57"/>
      <c r="F381" s="57"/>
      <c r="G381" s="57">
        <f>SUM(G376:G380)</f>
        <v>3033</v>
      </c>
      <c r="H381" s="57">
        <f>SUM(H376:H380)</f>
        <v>117337082.48999999</v>
      </c>
      <c r="I381" s="36"/>
      <c r="J381" s="36"/>
      <c r="K381" s="36"/>
    </row>
    <row r="382" spans="1:11" ht="45">
      <c r="A382" s="37"/>
      <c r="B382" s="38" t="s">
        <v>109</v>
      </c>
      <c r="C382" s="58"/>
      <c r="D382" s="58"/>
      <c r="E382" s="58"/>
      <c r="F382" s="58"/>
      <c r="G382" s="58"/>
      <c r="H382" s="58"/>
      <c r="I382" s="36"/>
      <c r="J382" s="36"/>
      <c r="K382" s="36"/>
    </row>
    <row r="383" spans="1:11" ht="25.9" customHeight="1">
      <c r="A383" s="37">
        <v>1</v>
      </c>
      <c r="B383" s="78" t="s">
        <v>316</v>
      </c>
      <c r="C383" s="58">
        <v>184</v>
      </c>
      <c r="D383" s="38">
        <f>10331224.64-1500000-100000</f>
        <v>8731224.6400000006</v>
      </c>
      <c r="E383" s="37">
        <f>ROUND(D383/C383,2)</f>
        <v>47452.31</v>
      </c>
      <c r="F383" s="40">
        <f>ROUND(E383*C383,2)</f>
        <v>8731225.0399999991</v>
      </c>
      <c r="G383" s="424">
        <v>190</v>
      </c>
      <c r="H383" s="553">
        <f>G383*56147.96</f>
        <v>10668112.4</v>
      </c>
      <c r="I383" s="36"/>
      <c r="J383" s="36"/>
      <c r="K383" s="36"/>
    </row>
    <row r="384" spans="1:11" ht="32.450000000000003" customHeight="1">
      <c r="A384" s="41"/>
      <c r="B384" s="42" t="s">
        <v>115</v>
      </c>
      <c r="C384" s="60">
        <f t="shared" ref="C384:H384" si="64">SUM(C383:C383)</f>
        <v>184</v>
      </c>
      <c r="D384" s="60">
        <f t="shared" si="64"/>
        <v>8731224.6400000006</v>
      </c>
      <c r="E384" s="60">
        <f t="shared" si="64"/>
        <v>47452.31</v>
      </c>
      <c r="F384" s="60">
        <f t="shared" si="64"/>
        <v>8731225.0399999991</v>
      </c>
      <c r="G384" s="60">
        <f t="shared" si="64"/>
        <v>190</v>
      </c>
      <c r="H384" s="60">
        <f t="shared" si="64"/>
        <v>10668112.4</v>
      </c>
      <c r="I384" s="36"/>
      <c r="J384" s="465"/>
      <c r="K384" s="1108"/>
    </row>
    <row r="385" spans="1:11" s="45" customFormat="1" ht="15.75" hidden="1">
      <c r="A385" s="44"/>
      <c r="B385" s="44" t="s">
        <v>116</v>
      </c>
      <c r="C385" s="61">
        <f t="shared" ref="C385:H385" si="65">C384+C381</f>
        <v>3205</v>
      </c>
      <c r="D385" s="61">
        <f t="shared" si="65"/>
        <v>125414336.28999999</v>
      </c>
      <c r="E385" s="61">
        <f t="shared" si="65"/>
        <v>47452.31</v>
      </c>
      <c r="F385" s="61">
        <f t="shared" si="65"/>
        <v>8731225.0399999991</v>
      </c>
      <c r="G385" s="61">
        <f t="shared" si="65"/>
        <v>3223</v>
      </c>
      <c r="H385" s="61">
        <f t="shared" si="65"/>
        <v>128005194.89</v>
      </c>
      <c r="J385" s="1080">
        <f>'Фонды2015-2017'!AJ260</f>
        <v>127198305.53</v>
      </c>
      <c r="K385" s="51">
        <f>J385-D385</f>
        <v>1783969.2400000095</v>
      </c>
    </row>
    <row r="386" spans="1:11" hidden="1">
      <c r="I386" s="36"/>
      <c r="J386" s="36"/>
      <c r="K386" s="36"/>
    </row>
    <row r="387" spans="1:11" ht="15.75" hidden="1">
      <c r="A387" s="515"/>
      <c r="B387" s="79" t="s">
        <v>669</v>
      </c>
      <c r="C387" s="516">
        <f>C385+C373+C364+C355+C343+C326+C313+C303+C292+C281+C263+C249+C235+C219+C210+C192+C181+C160+C151+C137+C128+C108+C93+C78+C64+C49+C39+C31+C19</f>
        <v>52535</v>
      </c>
      <c r="D387" s="80">
        <f>D385+D373+D364+D355+D343+D326+D313+D303+D292+D281+D263+D249+D235+D219+D210+D192+D181+D160+D151+D137+D128+D108+D93+D78+D64+D49+D39+D31+D19</f>
        <v>3183262152.6200004</v>
      </c>
      <c r="E387" s="80">
        <f>E385+E373+E364+E355+E343+E326+E313+E303+E292+E281+E263+E249+E235+E219+E210+E192+E181+E160+E151+E137+E128+E108+E93+E78+E64+E49+E39+E31+E19</f>
        <v>15648542.390000002</v>
      </c>
      <c r="F387" s="80">
        <f>F385+F373+F364+F355+F343+F326+F313+F303+F292+F281+F263+F249+F235+F219+F210+F192+F181+F160+F151+F137+F128+F108+F93+F78+F64+F49+F39+F31+F19</f>
        <v>1803243921.0600002</v>
      </c>
      <c r="G387" s="80"/>
      <c r="H387" s="80">
        <f>H385+H373+H364+H355+H343+H326+H313+H303+H292+H281+H263+H249+H235+H219+H210+H192+H181+H160+H151+H137+H128+H108+H93+H78+H64+H49+H39+H31+H19</f>
        <v>2989930262.5834804</v>
      </c>
      <c r="I387" s="36"/>
      <c r="J387" s="36"/>
      <c r="K387" s="36"/>
    </row>
    <row r="388" spans="1:11" ht="15.75" hidden="1">
      <c r="A388" s="515"/>
      <c r="B388" s="39" t="s">
        <v>317</v>
      </c>
      <c r="C388" s="513">
        <f>C381+C372+C360+C352+C333+C317+C307+C296+C285+C268+C253+C224+C214+C188+C167+C144+C132+C115+C97+C84+C70+C55+C43+C24+C9</f>
        <v>32213</v>
      </c>
      <c r="D388" s="40">
        <f>D381+D372+D360+D352+D333+D317+D307+D296+D285+D268+D253+D224+D214+D188+D167+D144+D132+D115+D97+D84+D70+D55+D43+D24+D9</f>
        <v>1406927817.6100001</v>
      </c>
      <c r="E388" s="40"/>
      <c r="F388" s="40"/>
      <c r="G388" s="40"/>
      <c r="H388" s="40">
        <f>H381+H372+H360+H352+H333+H317+H307+H296+H285+H268+H253+H224+H214+H188+H167+H144+H132+H115+H97+H84+H70+H55+H43+H24+H9</f>
        <v>1355802237.1634798</v>
      </c>
      <c r="I388" s="36"/>
      <c r="J388" s="36"/>
      <c r="K388" s="36"/>
    </row>
    <row r="389" spans="1:11" ht="15.75">
      <c r="A389" s="1206" t="s">
        <v>116</v>
      </c>
      <c r="B389" s="42" t="s">
        <v>318</v>
      </c>
      <c r="C389" s="469">
        <f>C384+C363+C354+C342+C325+C312+C302+C291+C280+C262+C248+C234+C218+C209+C191+C180+C159+C150+C136+C127+C107+C92+C77+C63+C48+C38+C30+C18</f>
        <v>20349</v>
      </c>
      <c r="D389" s="43">
        <f>D384+D363+D342+D325+D312+D302+D291+D280+D262+D248+D234+D218+D209+D180+D159+D150+D136+D127+D107+D92+D77+D63+D48+D38+D31+D19</f>
        <v>1803243914.8500001</v>
      </c>
      <c r="E389" s="43"/>
      <c r="F389" s="43">
        <f>F384+F363+F342+F325+F312+F302+F291+F280+F262+F248+F234+F218+F209+F180+F159+F150+F136+F127+F107+F92+F77+F63+F48+F38+F31+F19</f>
        <v>1803243921.0600002</v>
      </c>
      <c r="G389" s="43"/>
      <c r="H389" s="43">
        <f>H384+H363+H354+H342+H325+H312+H302+H291+H280+H262+H248+H234+H218+H209+H191+H180+H159+H150+H136+H127+H107+H92+H77+H63+H48+H38+H30+H18</f>
        <v>1579336325.3799999</v>
      </c>
      <c r="I389" s="36"/>
      <c r="J389" s="36"/>
      <c r="K389" s="36"/>
    </row>
    <row r="390" spans="1:11">
      <c r="H390" s="36">
        <f>H389+H388</f>
        <v>2935138562.5434799</v>
      </c>
      <c r="I390" s="36"/>
      <c r="J390" s="36"/>
      <c r="K390" s="36"/>
    </row>
    <row r="391" spans="1:11">
      <c r="B391" s="36" t="s">
        <v>670</v>
      </c>
      <c r="D391" s="36" t="s">
        <v>671</v>
      </c>
      <c r="E391" s="36" t="s">
        <v>671</v>
      </c>
      <c r="I391" s="36"/>
      <c r="J391" s="36"/>
      <c r="K391" s="36"/>
    </row>
    <row r="392" spans="1:11">
      <c r="I392" s="36"/>
      <c r="J392" s="36"/>
      <c r="K392" s="36"/>
    </row>
    <row r="393" spans="1:11">
      <c r="B393" s="36" t="s">
        <v>672</v>
      </c>
      <c r="D393" s="36" t="s">
        <v>673</v>
      </c>
      <c r="E393" s="36" t="s">
        <v>749</v>
      </c>
      <c r="I393" s="36"/>
      <c r="J393" s="36"/>
      <c r="K393" s="36"/>
    </row>
    <row r="394" spans="1:11">
      <c r="I394" s="36"/>
      <c r="J394" s="36"/>
      <c r="K394" s="36"/>
    </row>
    <row r="395" spans="1:11">
      <c r="I395" s="36"/>
      <c r="J395" s="36"/>
      <c r="K395" s="36"/>
    </row>
    <row r="396" spans="1:11">
      <c r="I396" s="36"/>
      <c r="J396" s="36"/>
      <c r="K396" s="36"/>
    </row>
    <row r="397" spans="1:11">
      <c r="I397" s="36"/>
      <c r="J397" s="36"/>
      <c r="K397" s="36"/>
    </row>
    <row r="398" spans="1:11">
      <c r="I398" s="36"/>
      <c r="J398" s="36"/>
      <c r="K398" s="36"/>
    </row>
    <row r="399" spans="1:11">
      <c r="I399" s="36"/>
      <c r="J399" s="36"/>
      <c r="K399" s="36"/>
    </row>
    <row r="400" spans="1:11">
      <c r="I400" s="36"/>
      <c r="J400" s="36"/>
      <c r="K400" s="36"/>
    </row>
    <row r="401" spans="9:11">
      <c r="I401" s="36"/>
      <c r="J401" s="36"/>
      <c r="K401" s="36"/>
    </row>
    <row r="402" spans="9:11">
      <c r="I402" s="36"/>
      <c r="J402" s="36"/>
      <c r="K402" s="36"/>
    </row>
    <row r="403" spans="9:11">
      <c r="I403" s="36"/>
      <c r="J403" s="36"/>
      <c r="K403" s="36"/>
    </row>
    <row r="404" spans="9:11">
      <c r="I404" s="36"/>
      <c r="J404" s="36"/>
      <c r="K404" s="36"/>
    </row>
    <row r="405" spans="9:11">
      <c r="I405" s="36"/>
      <c r="J405" s="36"/>
      <c r="K405" s="36"/>
    </row>
    <row r="406" spans="9:11">
      <c r="I406" s="36"/>
      <c r="J406" s="36"/>
      <c r="K406" s="36"/>
    </row>
    <row r="407" spans="9:11">
      <c r="I407" s="36"/>
      <c r="J407" s="36"/>
      <c r="K407" s="36"/>
    </row>
    <row r="408" spans="9:11">
      <c r="I408" s="36"/>
      <c r="J408" s="36"/>
      <c r="K408" s="36"/>
    </row>
    <row r="409" spans="9:11">
      <c r="I409" s="36"/>
      <c r="J409" s="36"/>
      <c r="K409" s="36"/>
    </row>
    <row r="410" spans="9:11">
      <c r="I410" s="36"/>
      <c r="J410" s="36"/>
      <c r="K410" s="36"/>
    </row>
    <row r="411" spans="9:11">
      <c r="I411" s="36"/>
      <c r="J411" s="36"/>
      <c r="K411" s="36"/>
    </row>
    <row r="412" spans="9:11">
      <c r="I412" s="36"/>
      <c r="J412" s="36"/>
      <c r="K412" s="36"/>
    </row>
    <row r="413" spans="9:11">
      <c r="I413" s="36"/>
      <c r="J413" s="36"/>
      <c r="K413" s="36"/>
    </row>
    <row r="414" spans="9:11">
      <c r="I414" s="36"/>
      <c r="J414" s="36"/>
      <c r="K414" s="36"/>
    </row>
    <row r="415" spans="9:11">
      <c r="I415" s="36"/>
      <c r="J415" s="36"/>
      <c r="K415" s="36"/>
    </row>
    <row r="416" spans="9:11">
      <c r="I416" s="36"/>
      <c r="J416" s="36"/>
      <c r="K416" s="36"/>
    </row>
    <row r="417" spans="9:11">
      <c r="I417" s="36"/>
      <c r="J417" s="36"/>
      <c r="K417" s="36"/>
    </row>
    <row r="418" spans="9:11">
      <c r="I418" s="36"/>
      <c r="J418" s="36"/>
      <c r="K418" s="36"/>
    </row>
    <row r="419" spans="9:11">
      <c r="I419" s="36"/>
      <c r="J419" s="36"/>
      <c r="K419" s="36"/>
    </row>
    <row r="420" spans="9:11">
      <c r="I420" s="36"/>
      <c r="J420" s="36"/>
      <c r="K420" s="36"/>
    </row>
    <row r="421" spans="9:11">
      <c r="I421" s="36"/>
      <c r="J421" s="36"/>
      <c r="K421" s="36"/>
    </row>
    <row r="422" spans="9:11">
      <c r="I422" s="36"/>
      <c r="J422" s="36"/>
      <c r="K422" s="36"/>
    </row>
    <row r="423" spans="9:11">
      <c r="I423" s="36"/>
      <c r="J423" s="36"/>
      <c r="K423" s="36"/>
    </row>
    <row r="424" spans="9:11">
      <c r="I424" s="36"/>
      <c r="J424" s="36"/>
      <c r="K424" s="36"/>
    </row>
    <row r="425" spans="9:11">
      <c r="I425" s="36"/>
      <c r="J425" s="36"/>
      <c r="K425" s="36"/>
    </row>
    <row r="426" spans="9:11">
      <c r="I426" s="36"/>
      <c r="J426" s="36"/>
      <c r="K426" s="36"/>
    </row>
    <row r="427" spans="9:11">
      <c r="I427" s="36"/>
      <c r="J427" s="36"/>
      <c r="K427" s="36"/>
    </row>
    <row r="428" spans="9:11">
      <c r="I428" s="36"/>
      <c r="J428" s="36"/>
      <c r="K428" s="36"/>
    </row>
    <row r="429" spans="9:11">
      <c r="I429" s="36"/>
      <c r="J429" s="36"/>
      <c r="K429" s="36"/>
    </row>
    <row r="430" spans="9:11">
      <c r="I430" s="36"/>
      <c r="J430" s="36"/>
      <c r="K430" s="36"/>
    </row>
    <row r="431" spans="9:11">
      <c r="I431" s="36"/>
      <c r="J431" s="36"/>
      <c r="K431" s="36"/>
    </row>
    <row r="432" spans="9:11">
      <c r="I432" s="36"/>
      <c r="J432" s="36"/>
      <c r="K432" s="36"/>
    </row>
    <row r="433" spans="9:11">
      <c r="I433" s="36"/>
      <c r="J433" s="36"/>
      <c r="K433" s="36"/>
    </row>
    <row r="434" spans="9:11">
      <c r="I434" s="36"/>
      <c r="J434" s="36"/>
      <c r="K434" s="36"/>
    </row>
    <row r="435" spans="9:11">
      <c r="I435" s="36"/>
      <c r="J435" s="36"/>
      <c r="K435" s="36"/>
    </row>
    <row r="436" spans="9:11">
      <c r="I436" s="36"/>
      <c r="J436" s="36"/>
      <c r="K436" s="36"/>
    </row>
    <row r="437" spans="9:11">
      <c r="I437" s="36"/>
      <c r="J437" s="36"/>
      <c r="K437" s="36"/>
    </row>
    <row r="438" spans="9:11">
      <c r="I438" s="36"/>
      <c r="J438" s="36"/>
      <c r="K438" s="36"/>
    </row>
    <row r="439" spans="9:11">
      <c r="I439" s="36"/>
      <c r="J439" s="36"/>
      <c r="K439" s="36"/>
    </row>
    <row r="440" spans="9:11">
      <c r="I440" s="36"/>
      <c r="J440" s="36"/>
      <c r="K440" s="36"/>
    </row>
    <row r="441" spans="9:11">
      <c r="I441" s="36"/>
      <c r="J441" s="36"/>
      <c r="K441" s="36"/>
    </row>
  </sheetData>
  <mergeCells count="35">
    <mergeCell ref="B2:G2"/>
    <mergeCell ref="B3:G3"/>
    <mergeCell ref="B21:G21"/>
    <mergeCell ref="B32:G32"/>
    <mergeCell ref="B40:G40"/>
    <mergeCell ref="B374:D374"/>
    <mergeCell ref="B304:D304"/>
    <mergeCell ref="B314:D314"/>
    <mergeCell ref="B327:D327"/>
    <mergeCell ref="B344:D344"/>
    <mergeCell ref="B356:D356"/>
    <mergeCell ref="B264:D264"/>
    <mergeCell ref="B282:D282"/>
    <mergeCell ref="B293:D293"/>
    <mergeCell ref="B6:G6"/>
    <mergeCell ref="B365:D365"/>
    <mergeCell ref="B236:D236"/>
    <mergeCell ref="B50:G50"/>
    <mergeCell ref="B65:G65"/>
    <mergeCell ref="B79:G79"/>
    <mergeCell ref="B94:G94"/>
    <mergeCell ref="B109:G109"/>
    <mergeCell ref="B129:D129"/>
    <mergeCell ref="B138:D138"/>
    <mergeCell ref="B152:D152"/>
    <mergeCell ref="B161:D161"/>
    <mergeCell ref="B182:D182"/>
    <mergeCell ref="A4:A5"/>
    <mergeCell ref="B4:B5"/>
    <mergeCell ref="G4:H4"/>
    <mergeCell ref="B250:D250"/>
    <mergeCell ref="B193:D193"/>
    <mergeCell ref="B211:D211"/>
    <mergeCell ref="B220:D220"/>
    <mergeCell ref="C4:F4"/>
  </mergeCells>
  <pageMargins left="0" right="0" top="0" bottom="0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T46"/>
  <sheetViews>
    <sheetView topLeftCell="A7" zoomScale="75" zoomScaleNormal="75" workbookViewId="0">
      <pane xSplit="1" ySplit="5" topLeftCell="CW12" activePane="bottomRight" state="frozen"/>
      <selection activeCell="A7" sqref="A7"/>
      <selection pane="topRight" activeCell="B7" sqref="B7"/>
      <selection pane="bottomLeft" activeCell="A12" sqref="A12"/>
      <selection pane="bottomRight" activeCell="DQ32" sqref="DQ32"/>
    </sheetView>
  </sheetViews>
  <sheetFormatPr defaultRowHeight="12.75"/>
  <cols>
    <col min="1" max="1" width="15.85546875" customWidth="1"/>
    <col min="22" max="27" width="8.85546875" style="24"/>
    <col min="28" max="28" width="8.85546875" style="21"/>
    <col min="29" max="30" width="8.85546875" style="24"/>
    <col min="31" max="31" width="12.85546875" style="24" customWidth="1"/>
    <col min="32" max="33" width="11.7109375" style="24" customWidth="1"/>
    <col min="34" max="35" width="8.85546875" style="24"/>
    <col min="42" max="52" width="8.85546875" style="24"/>
    <col min="53" max="53" width="11.85546875" style="24" customWidth="1"/>
    <col min="54" max="58" width="8.85546875" style="24"/>
    <col min="104" max="106" width="12.5703125" customWidth="1"/>
    <col min="107" max="107" width="12.85546875" customWidth="1"/>
    <col min="108" max="108" width="14.42578125" customWidth="1"/>
    <col min="109" max="114" width="12.7109375" customWidth="1"/>
    <col min="115" max="115" width="14.28515625" customWidth="1"/>
    <col min="116" max="118" width="16.5703125" customWidth="1"/>
    <col min="119" max="119" width="13.140625" customWidth="1"/>
    <col min="120" max="120" width="19.28515625" customWidth="1"/>
    <col min="121" max="121" width="22.5703125" customWidth="1"/>
    <col min="122" max="122" width="17.5703125" customWidth="1"/>
    <col min="123" max="123" width="15.85546875" customWidth="1"/>
    <col min="124" max="124" width="16.140625" customWidth="1"/>
  </cols>
  <sheetData>
    <row r="1" spans="1:124">
      <c r="AM1" s="1849" t="s">
        <v>834</v>
      </c>
      <c r="AN1" s="1849"/>
      <c r="AO1" s="1849"/>
      <c r="BJ1" s="1849"/>
      <c r="BK1" s="1849"/>
      <c r="BL1" s="1849"/>
      <c r="CK1" s="1849"/>
      <c r="CL1" s="1849"/>
      <c r="CM1" s="1849"/>
      <c r="CN1" s="1266"/>
      <c r="CO1" s="1266"/>
      <c r="CP1" s="1266"/>
      <c r="CQ1" s="1266"/>
      <c r="CR1" s="1266"/>
      <c r="CS1" s="1266"/>
      <c r="CT1" s="1266"/>
      <c r="CU1" s="1266"/>
      <c r="CV1" s="1266"/>
      <c r="CW1" s="1849"/>
      <c r="CX1" s="1849"/>
      <c r="CY1" s="1849"/>
    </row>
    <row r="2" spans="1:124">
      <c r="CK2" s="1266"/>
      <c r="CL2" s="1266"/>
      <c r="CM2" s="1266"/>
      <c r="CN2" s="1266"/>
      <c r="CO2" s="1266"/>
      <c r="CP2" s="1266"/>
      <c r="CQ2" s="1266"/>
      <c r="CR2" s="1266"/>
      <c r="CS2" s="1266"/>
      <c r="CT2" s="1266"/>
      <c r="CU2" s="1266"/>
      <c r="CV2" s="1266"/>
      <c r="CW2" s="1266"/>
      <c r="CX2" s="1266"/>
      <c r="CY2" s="1266"/>
    </row>
    <row r="3" spans="1:124" ht="16.5">
      <c r="B3" s="1850" t="s">
        <v>835</v>
      </c>
      <c r="C3" s="1850"/>
      <c r="D3" s="1850"/>
      <c r="E3" s="1850"/>
      <c r="F3" s="1850"/>
      <c r="G3" s="1850"/>
      <c r="H3" s="1850"/>
      <c r="I3" s="1850"/>
      <c r="J3" s="1850"/>
      <c r="K3" s="1850"/>
      <c r="L3" s="1850"/>
      <c r="M3" s="1850"/>
      <c r="N3" s="1850"/>
      <c r="O3" s="1850"/>
      <c r="P3" s="1850"/>
      <c r="Q3" s="1850"/>
      <c r="R3" s="1850"/>
      <c r="S3" s="1850"/>
      <c r="T3" s="1850"/>
      <c r="U3" s="1850"/>
      <c r="V3" s="1850"/>
      <c r="W3" s="1850"/>
      <c r="X3" s="1850"/>
      <c r="Y3" s="1850"/>
      <c r="Z3" s="1850"/>
      <c r="AA3" s="1850"/>
      <c r="AB3" s="1850"/>
      <c r="AC3" s="1850"/>
      <c r="AD3" s="1850"/>
      <c r="AE3" s="1850"/>
      <c r="AF3" s="1850"/>
      <c r="AG3" s="1850"/>
      <c r="AH3" s="1850"/>
      <c r="AI3" s="1850"/>
      <c r="AJ3" s="1850"/>
      <c r="AK3" s="1850"/>
      <c r="AL3" s="1850"/>
      <c r="AM3" s="1850"/>
      <c r="AN3" s="1850"/>
      <c r="AO3" s="1850"/>
      <c r="AP3" s="1267"/>
      <c r="AQ3" s="1267"/>
      <c r="AR3" s="1267"/>
      <c r="AS3" s="1267"/>
      <c r="AT3" s="1267"/>
      <c r="AU3" s="1267"/>
      <c r="AV3" s="1267"/>
      <c r="AW3" s="1267"/>
      <c r="AX3" s="1267"/>
      <c r="AY3" s="1267"/>
      <c r="AZ3" s="1267"/>
      <c r="BA3" s="1267"/>
      <c r="BB3" s="1267"/>
      <c r="BC3" s="1267"/>
      <c r="BD3" s="1267"/>
      <c r="BE3" s="1267"/>
      <c r="BF3" s="1267"/>
      <c r="BG3" s="1268"/>
      <c r="BH3" s="1268"/>
      <c r="BI3" s="1268"/>
      <c r="BJ3" s="1268"/>
      <c r="BK3" s="1268"/>
      <c r="BL3" s="1268"/>
      <c r="BM3" s="1269"/>
      <c r="BN3" s="1269"/>
      <c r="BO3" s="1269"/>
      <c r="BP3" s="1269"/>
      <c r="BQ3" s="1269"/>
      <c r="BR3" s="1269"/>
      <c r="BS3" s="1269"/>
      <c r="BT3" s="1269"/>
      <c r="BU3" s="1269"/>
      <c r="BV3" s="1269"/>
      <c r="BW3" s="1269"/>
      <c r="BX3" s="1269"/>
      <c r="BY3" s="1269"/>
      <c r="BZ3" s="1269"/>
      <c r="CA3" s="1269"/>
      <c r="CB3" s="1269"/>
      <c r="CC3" s="1269"/>
      <c r="CD3" s="1269"/>
      <c r="CE3" s="1269"/>
      <c r="CF3" s="1269"/>
      <c r="CG3" s="1269"/>
      <c r="CH3" s="1269"/>
      <c r="CI3" s="1269"/>
      <c r="CJ3" s="1269"/>
      <c r="CK3" s="1269"/>
      <c r="CL3" s="1269"/>
      <c r="CW3" s="1269"/>
      <c r="CX3" s="1269"/>
    </row>
    <row r="4" spans="1:124" ht="18.75">
      <c r="B4" s="1848" t="s">
        <v>836</v>
      </c>
      <c r="C4" s="1848"/>
      <c r="D4" s="1848"/>
      <c r="E4" s="1848"/>
      <c r="F4" s="1848"/>
      <c r="G4" s="1848"/>
      <c r="H4" s="1848"/>
      <c r="I4" s="1848"/>
      <c r="J4" s="1848"/>
      <c r="K4" s="1848"/>
      <c r="L4" s="1848"/>
      <c r="M4" s="1848"/>
      <c r="N4" s="1848"/>
      <c r="O4" s="1848"/>
      <c r="P4" s="1848"/>
      <c r="Q4" s="1848"/>
      <c r="R4" s="1848"/>
      <c r="S4" s="1848"/>
      <c r="T4" s="1848"/>
      <c r="U4" s="1848"/>
      <c r="V4" s="1848"/>
      <c r="W4" s="1848"/>
      <c r="X4" s="1848"/>
      <c r="Y4" s="1848"/>
      <c r="Z4" s="1848"/>
      <c r="AA4" s="1848"/>
      <c r="AB4" s="1848"/>
      <c r="AC4" s="1848"/>
      <c r="AD4" s="1848"/>
      <c r="AE4" s="1848"/>
      <c r="AF4" s="1848"/>
      <c r="AG4" s="1848"/>
      <c r="AH4" s="1848"/>
      <c r="AI4" s="1848"/>
      <c r="AJ4" s="1848"/>
      <c r="AK4" s="1848"/>
      <c r="AL4" s="1848"/>
      <c r="AM4" s="1848"/>
      <c r="AN4" s="1848"/>
      <c r="AO4" s="1848"/>
      <c r="AP4" s="1267"/>
      <c r="AQ4" s="1267"/>
      <c r="AR4" s="1267"/>
      <c r="AS4" s="1267"/>
      <c r="AT4" s="1267"/>
      <c r="AU4" s="1267"/>
      <c r="AV4" s="1267"/>
      <c r="AW4" s="1267"/>
      <c r="AX4" s="1267"/>
      <c r="AY4" s="1267"/>
      <c r="AZ4" s="1267"/>
      <c r="BA4" s="1267"/>
      <c r="BB4" s="1267"/>
      <c r="BC4" s="1267"/>
      <c r="BD4" s="1267"/>
      <c r="BE4" s="1267"/>
      <c r="BF4" s="1267"/>
      <c r="BG4" s="1268"/>
      <c r="BH4" s="1268">
        <f>BJ12/AY12*1000</f>
        <v>22344.827586206899</v>
      </c>
      <c r="BI4" s="1268"/>
      <c r="BJ4" s="1268"/>
      <c r="BK4" s="1268"/>
      <c r="BL4" s="1268"/>
      <c r="BM4" s="1269"/>
      <c r="BN4" s="1269"/>
      <c r="BO4" s="1269"/>
      <c r="BP4" s="1269"/>
      <c r="BQ4" s="1269"/>
      <c r="BR4" s="1269"/>
      <c r="BS4" s="1269"/>
      <c r="BT4" s="1269"/>
      <c r="BU4" s="1269"/>
      <c r="BV4" s="1269"/>
      <c r="BW4" s="1269"/>
      <c r="BX4" s="1269"/>
      <c r="BY4" s="1269"/>
      <c r="BZ4" s="1269"/>
      <c r="CA4" s="1269"/>
      <c r="CB4" s="1269"/>
      <c r="CC4" s="1269"/>
      <c r="CD4" s="1269"/>
      <c r="CE4" s="1269"/>
      <c r="CF4" s="1269"/>
      <c r="CG4" s="1269"/>
      <c r="CH4" s="1269"/>
      <c r="CI4" s="1269"/>
      <c r="CJ4" s="1269"/>
      <c r="CK4" s="1269"/>
      <c r="CL4" s="1269"/>
      <c r="CW4" s="1269"/>
      <c r="CX4" s="1269"/>
      <c r="DC4">
        <f>74.8/1.044*1.088*1.053*1000</f>
        <v>82083.972413793104</v>
      </c>
    </row>
    <row r="7" spans="1:124" s="1274" customFormat="1" ht="17.45" customHeight="1">
      <c r="A7" s="1835" t="s">
        <v>837</v>
      </c>
      <c r="B7" s="1838" t="s">
        <v>838</v>
      </c>
      <c r="C7" s="1839"/>
      <c r="D7" s="1799" t="s">
        <v>839</v>
      </c>
      <c r="E7" s="1800"/>
      <c r="F7" s="1800"/>
      <c r="G7" s="1800"/>
      <c r="H7" s="1800"/>
      <c r="I7" s="1800"/>
      <c r="J7" s="1800"/>
      <c r="K7" s="1800"/>
      <c r="L7" s="1800"/>
      <c r="M7" s="1800"/>
      <c r="N7" s="1800"/>
      <c r="O7" s="1800"/>
      <c r="P7" s="1800"/>
      <c r="Q7" s="1800"/>
      <c r="R7" s="1800"/>
      <c r="S7" s="1800"/>
      <c r="T7" s="1800"/>
      <c r="U7" s="1800"/>
      <c r="V7" s="1800"/>
      <c r="W7" s="1800"/>
      <c r="X7" s="1800"/>
      <c r="Y7" s="1800"/>
      <c r="Z7" s="1800"/>
      <c r="AA7" s="1800"/>
      <c r="AB7" s="1800"/>
      <c r="AC7" s="1800"/>
      <c r="AD7" s="1800"/>
      <c r="AE7" s="1800"/>
      <c r="AF7" s="1800"/>
      <c r="AG7" s="1800"/>
      <c r="AH7" s="1800"/>
      <c r="AI7" s="1800"/>
      <c r="AJ7" s="1800"/>
      <c r="AK7" s="1800"/>
      <c r="AL7" s="1800"/>
      <c r="AM7" s="1800"/>
      <c r="AN7" s="1800"/>
      <c r="AO7" s="1800"/>
      <c r="AP7" s="1800"/>
      <c r="AQ7" s="1800"/>
      <c r="AR7" s="1800"/>
      <c r="AS7" s="1270"/>
      <c r="AT7" s="1270"/>
      <c r="AU7" s="1270"/>
      <c r="AV7" s="1270"/>
      <c r="AW7" s="1270"/>
      <c r="AX7" s="1270"/>
      <c r="AY7" s="1270"/>
      <c r="AZ7" s="1270"/>
      <c r="BA7" s="1270"/>
      <c r="BB7" s="1270"/>
      <c r="BC7" s="1270"/>
      <c r="BD7" s="1270"/>
      <c r="BE7" s="1270"/>
      <c r="BF7" s="1270"/>
      <c r="BG7" s="1271"/>
      <c r="BH7" s="1271"/>
      <c r="BI7" s="1271"/>
      <c r="BJ7" s="1271"/>
      <c r="BK7" s="1271"/>
      <c r="BL7" s="1271"/>
      <c r="BM7" s="1271"/>
      <c r="BN7" s="1271"/>
      <c r="BO7" s="1271"/>
      <c r="BP7" s="1271"/>
      <c r="BQ7" s="1271"/>
      <c r="BR7" s="1271"/>
      <c r="BS7" s="1271"/>
      <c r="BT7" s="1271"/>
      <c r="BU7" s="1271"/>
      <c r="BV7" s="1271"/>
      <c r="BW7" s="1271"/>
      <c r="BX7" s="1271"/>
      <c r="BY7" s="1271"/>
      <c r="BZ7" s="1271"/>
      <c r="CA7" s="1271"/>
      <c r="CB7" s="1271"/>
      <c r="CC7" s="1271"/>
      <c r="CD7" s="1271"/>
      <c r="CE7" s="1271"/>
      <c r="CF7" s="1271"/>
      <c r="CG7" s="1271"/>
      <c r="CH7" s="1271"/>
      <c r="CI7" s="1271"/>
      <c r="CJ7" s="1271"/>
      <c r="CK7" s="1271"/>
      <c r="CL7" s="1271"/>
      <c r="CM7" s="1271"/>
      <c r="CN7" s="1271"/>
      <c r="CO7" s="1271"/>
      <c r="CP7" s="1271"/>
      <c r="CQ7" s="1271"/>
      <c r="CR7" s="1271"/>
      <c r="CS7" s="1271"/>
      <c r="CT7" s="1271"/>
      <c r="CU7" s="1271"/>
      <c r="CV7" s="1271"/>
      <c r="CW7" s="1271"/>
      <c r="CX7" s="1271"/>
      <c r="CY7" s="1272"/>
      <c r="CZ7" s="1790" t="s">
        <v>840</v>
      </c>
      <c r="DA7" s="1778" t="s">
        <v>883</v>
      </c>
      <c r="DB7" s="1778"/>
      <c r="DC7" s="1790" t="s">
        <v>841</v>
      </c>
      <c r="DD7" s="1273"/>
      <c r="DE7" s="1790" t="s">
        <v>842</v>
      </c>
      <c r="DF7" s="1777" t="s">
        <v>881</v>
      </c>
      <c r="DG7" s="1777"/>
      <c r="DH7" s="1777"/>
      <c r="DI7" s="1777"/>
      <c r="DJ7" s="1777"/>
      <c r="DK7" s="1784" t="s">
        <v>843</v>
      </c>
      <c r="DL7" s="1787" t="s">
        <v>890</v>
      </c>
      <c r="DM7" s="1781" t="s">
        <v>887</v>
      </c>
      <c r="DN7" s="1783" t="s">
        <v>888</v>
      </c>
      <c r="DO7" s="1782" t="s">
        <v>886</v>
      </c>
      <c r="DP7" s="1776" t="s">
        <v>889</v>
      </c>
      <c r="DQ7" s="1775"/>
    </row>
    <row r="8" spans="1:124" s="1276" customFormat="1" ht="18.75">
      <c r="A8" s="1836"/>
      <c r="B8" s="1840"/>
      <c r="C8" s="1841"/>
      <c r="D8" s="1799" t="s">
        <v>827</v>
      </c>
      <c r="E8" s="1800"/>
      <c r="F8" s="1800"/>
      <c r="G8" s="1800"/>
      <c r="H8" s="1800"/>
      <c r="I8" s="1800"/>
      <c r="J8" s="1800"/>
      <c r="K8" s="1800"/>
      <c r="L8" s="1800"/>
      <c r="M8" s="1800"/>
      <c r="N8" s="1800"/>
      <c r="O8" s="1800"/>
      <c r="P8" s="1800"/>
      <c r="Q8" s="1800"/>
      <c r="R8" s="1800"/>
      <c r="S8" s="1801"/>
      <c r="T8" s="1799" t="s">
        <v>844</v>
      </c>
      <c r="U8" s="1800"/>
      <c r="V8" s="1800"/>
      <c r="W8" s="1800"/>
      <c r="X8" s="1800"/>
      <c r="Y8" s="1800"/>
      <c r="Z8" s="1800"/>
      <c r="AA8" s="1800"/>
      <c r="AB8" s="1800"/>
      <c r="AC8" s="1800"/>
      <c r="AD8" s="1800"/>
      <c r="AE8" s="1800"/>
      <c r="AF8" s="1800"/>
      <c r="AG8" s="1800"/>
      <c r="AH8" s="1800"/>
      <c r="AI8" s="1800"/>
      <c r="AJ8" s="1800"/>
      <c r="AK8" s="1800"/>
      <c r="AL8" s="1800"/>
      <c r="AM8" s="1800"/>
      <c r="AN8" s="1800"/>
      <c r="AO8" s="1801"/>
      <c r="AP8" s="1799" t="s">
        <v>845</v>
      </c>
      <c r="AQ8" s="1800"/>
      <c r="AR8" s="1800"/>
      <c r="AS8" s="1800"/>
      <c r="AT8" s="1800"/>
      <c r="AU8" s="1800"/>
      <c r="AV8" s="1800"/>
      <c r="AW8" s="1800"/>
      <c r="AX8" s="1800"/>
      <c r="AY8" s="1800"/>
      <c r="AZ8" s="1800"/>
      <c r="BA8" s="1800"/>
      <c r="BB8" s="1800"/>
      <c r="BC8" s="1800"/>
      <c r="BD8" s="1800"/>
      <c r="BE8" s="1800"/>
      <c r="BF8" s="1800"/>
      <c r="BG8" s="1800"/>
      <c r="BH8" s="1800"/>
      <c r="BI8" s="1800"/>
      <c r="BJ8" s="1800"/>
      <c r="BK8" s="1800"/>
      <c r="BL8" s="1801"/>
      <c r="BM8" s="1799" t="s">
        <v>846</v>
      </c>
      <c r="BN8" s="1800"/>
      <c r="BO8" s="1800"/>
      <c r="BP8" s="1800"/>
      <c r="BQ8" s="1800"/>
      <c r="BR8" s="1800"/>
      <c r="BS8" s="1800"/>
      <c r="BT8" s="1800"/>
      <c r="BU8" s="1800"/>
      <c r="BV8" s="1800"/>
      <c r="BW8" s="1800"/>
      <c r="BX8" s="1801"/>
      <c r="BY8" s="1799" t="s">
        <v>847</v>
      </c>
      <c r="BZ8" s="1800"/>
      <c r="CA8" s="1800"/>
      <c r="CB8" s="1800"/>
      <c r="CC8" s="1800"/>
      <c r="CD8" s="1800"/>
      <c r="CE8" s="1800"/>
      <c r="CF8" s="1800"/>
      <c r="CG8" s="1800"/>
      <c r="CH8" s="1800"/>
      <c r="CI8" s="1800"/>
      <c r="CJ8" s="1801"/>
      <c r="CK8" s="1799" t="s">
        <v>848</v>
      </c>
      <c r="CL8" s="1800"/>
      <c r="CM8" s="1800"/>
      <c r="CN8" s="1800"/>
      <c r="CO8" s="1800"/>
      <c r="CP8" s="1800"/>
      <c r="CQ8" s="1800"/>
      <c r="CR8" s="1800"/>
      <c r="CS8" s="1800"/>
      <c r="CT8" s="1800"/>
      <c r="CU8" s="1800"/>
      <c r="CV8" s="1800"/>
      <c r="CW8" s="1800"/>
      <c r="CX8" s="1800"/>
      <c r="CY8" s="1801"/>
      <c r="CZ8" s="1791"/>
      <c r="DA8" s="1778"/>
      <c r="DB8" s="1778"/>
      <c r="DC8" s="1791"/>
      <c r="DD8" s="1275"/>
      <c r="DE8" s="1791"/>
      <c r="DF8" s="1777"/>
      <c r="DG8" s="1777"/>
      <c r="DH8" s="1777"/>
      <c r="DI8" s="1777"/>
      <c r="DJ8" s="1777"/>
      <c r="DK8" s="1785"/>
      <c r="DL8" s="1788"/>
      <c r="DM8" s="1781"/>
      <c r="DN8" s="1783"/>
      <c r="DO8" s="1782"/>
      <c r="DP8" s="1776"/>
      <c r="DQ8" s="1775"/>
    </row>
    <row r="9" spans="1:124" s="932" customFormat="1" ht="18.75">
      <c r="A9" s="1836"/>
      <c r="B9" s="1842"/>
      <c r="C9" s="1843"/>
      <c r="D9" s="1826" t="s">
        <v>849</v>
      </c>
      <c r="E9" s="1827"/>
      <c r="F9" s="1828"/>
      <c r="G9" s="1829" t="s">
        <v>850</v>
      </c>
      <c r="H9" s="1830"/>
      <c r="I9" s="1830"/>
      <c r="J9" s="1830"/>
      <c r="K9" s="1830"/>
      <c r="L9" s="1830"/>
      <c r="M9" s="1831"/>
      <c r="N9" s="1277"/>
      <c r="O9" s="1277"/>
      <c r="P9" s="1277"/>
      <c r="Q9" s="1823" t="s">
        <v>851</v>
      </c>
      <c r="R9" s="1824"/>
      <c r="S9" s="1825"/>
      <c r="T9" s="1826" t="s">
        <v>849</v>
      </c>
      <c r="U9" s="1827"/>
      <c r="V9" s="1827"/>
      <c r="W9" s="1827"/>
      <c r="X9" s="1827"/>
      <c r="Y9" s="1828"/>
      <c r="Z9" s="1278"/>
      <c r="AA9" s="1278"/>
      <c r="AB9" s="1279"/>
      <c r="AC9" s="1844" t="s">
        <v>852</v>
      </c>
      <c r="AD9" s="1844"/>
      <c r="AE9" s="1844"/>
      <c r="AF9" s="1844"/>
      <c r="AG9" s="1844"/>
      <c r="AH9" s="1844"/>
      <c r="AI9" s="1280"/>
      <c r="AJ9" s="1823" t="s">
        <v>851</v>
      </c>
      <c r="AK9" s="1824"/>
      <c r="AL9" s="1824"/>
      <c r="AM9" s="1824"/>
      <c r="AN9" s="1824"/>
      <c r="AO9" s="1825"/>
      <c r="AP9" s="1845" t="s">
        <v>849</v>
      </c>
      <c r="AQ9" s="1846"/>
      <c r="AR9" s="1846"/>
      <c r="AS9" s="1846"/>
      <c r="AT9" s="1846"/>
      <c r="AU9" s="1847"/>
      <c r="AV9" s="1845" t="s">
        <v>853</v>
      </c>
      <c r="AW9" s="1847"/>
      <c r="AX9" s="1281"/>
      <c r="AY9" s="1281"/>
      <c r="AZ9" s="1281"/>
      <c r="BA9" s="1281"/>
      <c r="BB9" s="1281"/>
      <c r="BC9" s="1281"/>
      <c r="BD9" s="1281"/>
      <c r="BE9" s="1281"/>
      <c r="BF9" s="1281"/>
      <c r="BG9" s="1823" t="s">
        <v>851</v>
      </c>
      <c r="BH9" s="1824"/>
      <c r="BI9" s="1824"/>
      <c r="BJ9" s="1824"/>
      <c r="BK9" s="1824"/>
      <c r="BL9" s="1825"/>
      <c r="BM9" s="1826" t="s">
        <v>849</v>
      </c>
      <c r="BN9" s="1827"/>
      <c r="BO9" s="1827"/>
      <c r="BP9" s="1827"/>
      <c r="BQ9" s="1827"/>
      <c r="BR9" s="1828"/>
      <c r="BS9" s="1823" t="s">
        <v>851</v>
      </c>
      <c r="BT9" s="1824"/>
      <c r="BU9" s="1824"/>
      <c r="BV9" s="1824"/>
      <c r="BW9" s="1824"/>
      <c r="BX9" s="1825"/>
      <c r="BY9" s="1826" t="s">
        <v>849</v>
      </c>
      <c r="BZ9" s="1827"/>
      <c r="CA9" s="1827"/>
      <c r="CB9" s="1827"/>
      <c r="CC9" s="1827"/>
      <c r="CD9" s="1828"/>
      <c r="CE9" s="1823" t="s">
        <v>851</v>
      </c>
      <c r="CF9" s="1824"/>
      <c r="CG9" s="1824"/>
      <c r="CH9" s="1824"/>
      <c r="CI9" s="1824"/>
      <c r="CJ9" s="1825"/>
      <c r="CK9" s="1826" t="s">
        <v>849</v>
      </c>
      <c r="CL9" s="1827"/>
      <c r="CM9" s="1828"/>
      <c r="CN9" s="1829"/>
      <c r="CO9" s="1830"/>
      <c r="CP9" s="1830"/>
      <c r="CQ9" s="1831"/>
      <c r="CR9" s="1277"/>
      <c r="CS9" s="1796" t="s">
        <v>854</v>
      </c>
      <c r="CT9" s="1797"/>
      <c r="CU9" s="1798"/>
      <c r="CV9" s="1282"/>
      <c r="CW9" s="1823" t="s">
        <v>851</v>
      </c>
      <c r="CX9" s="1824"/>
      <c r="CY9" s="1825"/>
      <c r="CZ9" s="1791"/>
      <c r="DA9" s="1433"/>
      <c r="DB9" s="1433"/>
      <c r="DC9" s="1791"/>
      <c r="DD9" s="1275"/>
      <c r="DE9" s="1791"/>
      <c r="DF9" s="1777"/>
      <c r="DG9" s="1777"/>
      <c r="DH9" s="1777"/>
      <c r="DI9" s="1777"/>
      <c r="DJ9" s="1777"/>
      <c r="DK9" s="1785"/>
      <c r="DL9" s="1788"/>
      <c r="DM9" s="1781"/>
      <c r="DN9" s="1783"/>
      <c r="DO9" s="1782"/>
      <c r="DP9" s="1776"/>
      <c r="DQ9" s="1775"/>
    </row>
    <row r="10" spans="1:124" s="1290" customFormat="1" ht="59.45" customHeight="1">
      <c r="A10" s="1836"/>
      <c r="B10" s="1794" t="s">
        <v>855</v>
      </c>
      <c r="C10" s="1794" t="s">
        <v>856</v>
      </c>
      <c r="D10" s="1794" t="s">
        <v>857</v>
      </c>
      <c r="E10" s="1794" t="s">
        <v>858</v>
      </c>
      <c r="F10" s="1794" t="s">
        <v>859</v>
      </c>
      <c r="G10" s="1808" t="s">
        <v>860</v>
      </c>
      <c r="H10" s="1812"/>
      <c r="I10" s="1813" t="s">
        <v>861</v>
      </c>
      <c r="J10" s="1814"/>
      <c r="K10" s="1815" t="s">
        <v>862</v>
      </c>
      <c r="L10" s="1816"/>
      <c r="M10" s="1817"/>
      <c r="N10" s="1809" t="s">
        <v>863</v>
      </c>
      <c r="O10" s="1810"/>
      <c r="P10" s="1811"/>
      <c r="Q10" s="1794" t="s">
        <v>857</v>
      </c>
      <c r="R10" s="1818" t="s">
        <v>864</v>
      </c>
      <c r="S10" s="1818" t="s">
        <v>859</v>
      </c>
      <c r="T10" s="1802" t="s">
        <v>857</v>
      </c>
      <c r="U10" s="1803"/>
      <c r="V10" s="1820" t="s">
        <v>858</v>
      </c>
      <c r="W10" s="1821"/>
      <c r="X10" s="1820" t="s">
        <v>859</v>
      </c>
      <c r="Y10" s="1821"/>
      <c r="Z10" s="1822" t="s">
        <v>865</v>
      </c>
      <c r="AA10" s="1822"/>
      <c r="AB10" s="1283"/>
      <c r="AC10" s="1808" t="s">
        <v>860</v>
      </c>
      <c r="AD10" s="1808"/>
      <c r="AE10" s="1284" t="s">
        <v>866</v>
      </c>
      <c r="AF10" s="1809" t="s">
        <v>867</v>
      </c>
      <c r="AG10" s="1810"/>
      <c r="AH10" s="1811"/>
      <c r="AI10" s="1285"/>
      <c r="AJ10" s="1802" t="s">
        <v>857</v>
      </c>
      <c r="AK10" s="1803"/>
      <c r="AL10" s="1802" t="s">
        <v>864</v>
      </c>
      <c r="AM10" s="1803"/>
      <c r="AN10" s="1802" t="s">
        <v>859</v>
      </c>
      <c r="AO10" s="1803"/>
      <c r="AP10" s="1820" t="s">
        <v>857</v>
      </c>
      <c r="AQ10" s="1821"/>
      <c r="AR10" s="1820" t="s">
        <v>858</v>
      </c>
      <c r="AS10" s="1821"/>
      <c r="AT10" s="1820" t="s">
        <v>859</v>
      </c>
      <c r="AU10" s="1821"/>
      <c r="AV10" s="1286"/>
      <c r="AW10" s="1286"/>
      <c r="AX10" s="1808" t="s">
        <v>860</v>
      </c>
      <c r="AY10" s="1808"/>
      <c r="AZ10" s="1284" t="s">
        <v>868</v>
      </c>
      <c r="BA10" s="1284" t="s">
        <v>866</v>
      </c>
      <c r="BB10" s="1832" t="s">
        <v>867</v>
      </c>
      <c r="BC10" s="1833"/>
      <c r="BD10" s="1834"/>
      <c r="BE10" s="1287"/>
      <c r="BF10" s="1287"/>
      <c r="BG10" s="1802" t="s">
        <v>857</v>
      </c>
      <c r="BH10" s="1803"/>
      <c r="BI10" s="1802" t="s">
        <v>864</v>
      </c>
      <c r="BJ10" s="1803"/>
      <c r="BK10" s="1802" t="s">
        <v>859</v>
      </c>
      <c r="BL10" s="1803"/>
      <c r="BM10" s="1802" t="s">
        <v>857</v>
      </c>
      <c r="BN10" s="1803"/>
      <c r="BO10" s="1802" t="s">
        <v>864</v>
      </c>
      <c r="BP10" s="1803"/>
      <c r="BQ10" s="1802" t="s">
        <v>859</v>
      </c>
      <c r="BR10" s="1803"/>
      <c r="BS10" s="1802" t="s">
        <v>857</v>
      </c>
      <c r="BT10" s="1803"/>
      <c r="BU10" s="1804" t="s">
        <v>864</v>
      </c>
      <c r="BV10" s="1805"/>
      <c r="BW10" s="1804" t="s">
        <v>859</v>
      </c>
      <c r="BX10" s="1805"/>
      <c r="BY10" s="1802" t="s">
        <v>857</v>
      </c>
      <c r="BZ10" s="1803"/>
      <c r="CA10" s="1802" t="s">
        <v>858</v>
      </c>
      <c r="CB10" s="1803"/>
      <c r="CC10" s="1802" t="s">
        <v>859</v>
      </c>
      <c r="CD10" s="1803"/>
      <c r="CE10" s="1802" t="s">
        <v>857</v>
      </c>
      <c r="CF10" s="1803"/>
      <c r="CG10" s="1804" t="s">
        <v>864</v>
      </c>
      <c r="CH10" s="1805"/>
      <c r="CI10" s="1804" t="s">
        <v>859</v>
      </c>
      <c r="CJ10" s="1805"/>
      <c r="CK10" s="1794" t="s">
        <v>857</v>
      </c>
      <c r="CL10" s="1794" t="s">
        <v>858</v>
      </c>
      <c r="CM10" s="1794" t="s">
        <v>859</v>
      </c>
      <c r="CN10" s="1808" t="s">
        <v>860</v>
      </c>
      <c r="CO10" s="1808"/>
      <c r="CP10" s="1288"/>
      <c r="CQ10" s="1806" t="s">
        <v>869</v>
      </c>
      <c r="CR10" s="1806" t="s">
        <v>870</v>
      </c>
      <c r="CS10" s="1289"/>
      <c r="CT10" s="1793" t="s">
        <v>871</v>
      </c>
      <c r="CU10" s="1793"/>
      <c r="CV10" s="1289" t="s">
        <v>872</v>
      </c>
      <c r="CW10" s="1794" t="s">
        <v>857</v>
      </c>
      <c r="CX10" s="1794" t="s">
        <v>864</v>
      </c>
      <c r="CY10" s="1794" t="s">
        <v>859</v>
      </c>
      <c r="CZ10" s="1791"/>
      <c r="DA10" s="1433" t="s">
        <v>882</v>
      </c>
      <c r="DB10" s="1433" t="s">
        <v>79</v>
      </c>
      <c r="DC10" s="1791"/>
      <c r="DD10" s="1790" t="s">
        <v>873</v>
      </c>
      <c r="DE10" s="1791"/>
      <c r="DF10" s="1436" t="s">
        <v>830</v>
      </c>
      <c r="DG10" s="1436" t="s">
        <v>884</v>
      </c>
      <c r="DH10" s="1436" t="s">
        <v>829</v>
      </c>
      <c r="DI10" s="1436" t="s">
        <v>885</v>
      </c>
      <c r="DJ10" s="1779" t="s">
        <v>81</v>
      </c>
      <c r="DK10" s="1785"/>
      <c r="DL10" s="1788"/>
      <c r="DM10" s="1781"/>
      <c r="DN10" s="1783"/>
      <c r="DO10" s="1782"/>
      <c r="DP10" s="1776"/>
      <c r="DQ10" s="1775"/>
    </row>
    <row r="11" spans="1:124" s="1290" customFormat="1" ht="38.25">
      <c r="A11" s="1837"/>
      <c r="B11" s="1795"/>
      <c r="C11" s="1795"/>
      <c r="D11" s="1795"/>
      <c r="E11" s="1795"/>
      <c r="F11" s="1795"/>
      <c r="G11" s="1291" t="s">
        <v>874</v>
      </c>
      <c r="H11" s="1292" t="s">
        <v>875</v>
      </c>
      <c r="I11" s="1293" t="s">
        <v>874</v>
      </c>
      <c r="J11" s="1294" t="s">
        <v>875</v>
      </c>
      <c r="K11" s="1295" t="s">
        <v>876</v>
      </c>
      <c r="L11" s="1293" t="s">
        <v>874</v>
      </c>
      <c r="M11" s="1293" t="s">
        <v>875</v>
      </c>
      <c r="N11" s="1296" t="s">
        <v>876</v>
      </c>
      <c r="O11" s="1297" t="s">
        <v>874</v>
      </c>
      <c r="P11" s="1297" t="s">
        <v>875</v>
      </c>
      <c r="Q11" s="1795"/>
      <c r="R11" s="1819"/>
      <c r="S11" s="1819"/>
      <c r="T11" s="1293" t="s">
        <v>874</v>
      </c>
      <c r="U11" s="1293" t="s">
        <v>875</v>
      </c>
      <c r="V11" s="1297" t="s">
        <v>874</v>
      </c>
      <c r="W11" s="1297" t="s">
        <v>875</v>
      </c>
      <c r="X11" s="1297" t="s">
        <v>874</v>
      </c>
      <c r="Y11" s="1297" t="s">
        <v>875</v>
      </c>
      <c r="Z11" s="1297" t="s">
        <v>874</v>
      </c>
      <c r="AA11" s="1297" t="s">
        <v>875</v>
      </c>
      <c r="AB11" s="1283"/>
      <c r="AC11" s="1291" t="s">
        <v>874</v>
      </c>
      <c r="AD11" s="1291" t="s">
        <v>875</v>
      </c>
      <c r="AE11" s="1298" t="s">
        <v>874</v>
      </c>
      <c r="AF11" s="1299" t="s">
        <v>876</v>
      </c>
      <c r="AG11" s="1291" t="s">
        <v>874</v>
      </c>
      <c r="AH11" s="1291" t="s">
        <v>875</v>
      </c>
      <c r="AI11" s="1297" t="s">
        <v>875</v>
      </c>
      <c r="AJ11" s="1293" t="s">
        <v>874</v>
      </c>
      <c r="AK11" s="1293" t="s">
        <v>875</v>
      </c>
      <c r="AL11" s="1293" t="s">
        <v>874</v>
      </c>
      <c r="AM11" s="1293" t="s">
        <v>875</v>
      </c>
      <c r="AN11" s="1293" t="s">
        <v>874</v>
      </c>
      <c r="AO11" s="1293" t="s">
        <v>875</v>
      </c>
      <c r="AP11" s="1297" t="s">
        <v>874</v>
      </c>
      <c r="AQ11" s="1297" t="s">
        <v>875</v>
      </c>
      <c r="AR11" s="1297" t="s">
        <v>874</v>
      </c>
      <c r="AS11" s="1297" t="s">
        <v>875</v>
      </c>
      <c r="AT11" s="1297" t="s">
        <v>874</v>
      </c>
      <c r="AU11" s="1297" t="s">
        <v>875</v>
      </c>
      <c r="AV11" s="1297"/>
      <c r="AW11" s="1297"/>
      <c r="AX11" s="1291" t="s">
        <v>874</v>
      </c>
      <c r="AY11" s="1291" t="s">
        <v>875</v>
      </c>
      <c r="AZ11" s="1298" t="s">
        <v>874</v>
      </c>
      <c r="BA11" s="1298"/>
      <c r="BB11" s="1300" t="s">
        <v>876</v>
      </c>
      <c r="BC11" s="1291" t="s">
        <v>874</v>
      </c>
      <c r="BD11" s="1291" t="s">
        <v>875</v>
      </c>
      <c r="BE11" s="1301"/>
      <c r="BF11" s="1302" t="s">
        <v>877</v>
      </c>
      <c r="BG11" s="1293" t="s">
        <v>874</v>
      </c>
      <c r="BH11" s="1293" t="s">
        <v>875</v>
      </c>
      <c r="BI11" s="1293" t="s">
        <v>874</v>
      </c>
      <c r="BJ11" s="1293" t="s">
        <v>875</v>
      </c>
      <c r="BK11" s="1293" t="s">
        <v>874</v>
      </c>
      <c r="BL11" s="1293" t="s">
        <v>875</v>
      </c>
      <c r="BM11" s="1293" t="s">
        <v>874</v>
      </c>
      <c r="BN11" s="1293" t="s">
        <v>875</v>
      </c>
      <c r="BO11" s="1293" t="s">
        <v>874</v>
      </c>
      <c r="BP11" s="1293" t="s">
        <v>875</v>
      </c>
      <c r="BQ11" s="1293" t="s">
        <v>874</v>
      </c>
      <c r="BR11" s="1293" t="s">
        <v>875</v>
      </c>
      <c r="BS11" s="1293" t="s">
        <v>874</v>
      </c>
      <c r="BT11" s="1293" t="s">
        <v>875</v>
      </c>
      <c r="BU11" s="1291" t="s">
        <v>874</v>
      </c>
      <c r="BV11" s="1291" t="s">
        <v>875</v>
      </c>
      <c r="BW11" s="1291" t="s">
        <v>874</v>
      </c>
      <c r="BX11" s="1291" t="s">
        <v>875</v>
      </c>
      <c r="BY11" s="1293" t="s">
        <v>874</v>
      </c>
      <c r="BZ11" s="1293" t="s">
        <v>875</v>
      </c>
      <c r="CA11" s="1293" t="s">
        <v>874</v>
      </c>
      <c r="CB11" s="1293" t="s">
        <v>875</v>
      </c>
      <c r="CC11" s="1293" t="s">
        <v>874</v>
      </c>
      <c r="CD11" s="1293" t="s">
        <v>875</v>
      </c>
      <c r="CE11" s="1293" t="s">
        <v>874</v>
      </c>
      <c r="CF11" s="1293" t="s">
        <v>875</v>
      </c>
      <c r="CG11" s="1291" t="s">
        <v>874</v>
      </c>
      <c r="CH11" s="1291" t="s">
        <v>875</v>
      </c>
      <c r="CI11" s="1291" t="s">
        <v>874</v>
      </c>
      <c r="CJ11" s="1291" t="s">
        <v>875</v>
      </c>
      <c r="CK11" s="1795"/>
      <c r="CL11" s="1795"/>
      <c r="CM11" s="1795"/>
      <c r="CN11" s="1291" t="s">
        <v>874</v>
      </c>
      <c r="CO11" s="1291" t="s">
        <v>875</v>
      </c>
      <c r="CP11" s="1303"/>
      <c r="CQ11" s="1807"/>
      <c r="CR11" s="1807"/>
      <c r="CS11" s="1304" t="s">
        <v>81</v>
      </c>
      <c r="CT11" s="1305" t="s">
        <v>874</v>
      </c>
      <c r="CU11" s="1305" t="s">
        <v>875</v>
      </c>
      <c r="CV11" s="1305"/>
      <c r="CW11" s="1795"/>
      <c r="CX11" s="1795"/>
      <c r="CY11" s="1795"/>
      <c r="CZ11" s="1792"/>
      <c r="DA11" s="1432"/>
      <c r="DB11" s="1432"/>
      <c r="DC11" s="1792"/>
      <c r="DD11" s="1792"/>
      <c r="DE11" s="1792"/>
      <c r="DF11" s="1437"/>
      <c r="DG11" s="1437"/>
      <c r="DH11" s="1437"/>
      <c r="DI11" s="1437"/>
      <c r="DJ11" s="1780"/>
      <c r="DK11" s="1786"/>
      <c r="DL11" s="1789"/>
      <c r="DM11" s="1781"/>
      <c r="DN11" s="1783"/>
      <c r="DO11" s="1782"/>
      <c r="DP11" s="1776"/>
      <c r="DQ11" s="1775"/>
    </row>
    <row r="12" spans="1:124" s="1330" customFormat="1" ht="30.75">
      <c r="A12" s="1452" t="s">
        <v>699</v>
      </c>
      <c r="B12" s="1248">
        <v>1267</v>
      </c>
      <c r="C12" s="1248">
        <v>1310</v>
      </c>
      <c r="D12" s="1307">
        <v>21.5</v>
      </c>
      <c r="E12" s="1307">
        <v>24.5</v>
      </c>
      <c r="F12" s="1307">
        <v>0</v>
      </c>
      <c r="G12" s="1308">
        <v>24.5</v>
      </c>
      <c r="H12" s="1309"/>
      <c r="I12" s="1310">
        <f>'Смарт 2015'!$C$8+'Смарт 2015'!$C$13</f>
        <v>20.7</v>
      </c>
      <c r="J12" s="1310">
        <f>'Смарт 2015'!$I$8+'Смарт 2015'!$I$13</f>
        <v>0</v>
      </c>
      <c r="K12" s="1310">
        <f>L12+M12</f>
        <v>7844.8</v>
      </c>
      <c r="L12" s="1310">
        <f>'Смарт 2015'!$D$8+'Смарт 2015'!$D$13</f>
        <v>7844.8</v>
      </c>
      <c r="M12" s="1310">
        <f>'Смарт 2015'!$J$8+'Смарт 2015'!$J$13</f>
        <v>0</v>
      </c>
      <c r="N12" s="1311">
        <f>O12+P12</f>
        <v>9284.9</v>
      </c>
      <c r="O12" s="1311">
        <f>ROUND(L12/I12*G12,1)</f>
        <v>9284.9</v>
      </c>
      <c r="P12" s="1311"/>
      <c r="Q12" s="1307">
        <v>7792.2</v>
      </c>
      <c r="R12" s="1307">
        <v>8831.7000000000007</v>
      </c>
      <c r="S12" s="1307">
        <v>0</v>
      </c>
      <c r="T12" s="1307">
        <v>161</v>
      </c>
      <c r="U12" s="1307">
        <v>7.6000000000000005</v>
      </c>
      <c r="V12" s="1312">
        <v>168</v>
      </c>
      <c r="W12" s="1312">
        <v>8.5</v>
      </c>
      <c r="X12" s="1312">
        <v>0</v>
      </c>
      <c r="Y12" s="1312"/>
      <c r="Z12" s="1313">
        <v>168</v>
      </c>
      <c r="AA12" s="1313">
        <v>8.5</v>
      </c>
      <c r="AB12" s="1314">
        <f>AC12-Z12</f>
        <v>2</v>
      </c>
      <c r="AC12" s="1315">
        <v>170</v>
      </c>
      <c r="AD12" s="1315">
        <v>9</v>
      </c>
      <c r="AE12" s="1316">
        <v>21939.5</v>
      </c>
      <c r="AF12" s="1317">
        <f>AG12+AI12</f>
        <v>47225.799999999996</v>
      </c>
      <c r="AG12" s="1318">
        <f>ROUND(AC12*AE12*12/1000,1)</f>
        <v>44756.6</v>
      </c>
      <c r="AH12" s="1318">
        <f>AM12+AO12</f>
        <v>2332</v>
      </c>
      <c r="AI12" s="1318">
        <f>ROUND(AH12/AA12*AD12,1)</f>
        <v>2469.1999999999998</v>
      </c>
      <c r="AJ12" s="1307">
        <v>38969.300000000003</v>
      </c>
      <c r="AK12" s="1307">
        <v>2204.8999999999996</v>
      </c>
      <c r="AL12" s="1307">
        <v>40601.300000000003</v>
      </c>
      <c r="AM12" s="1307">
        <v>2332</v>
      </c>
      <c r="AN12" s="1307">
        <v>0</v>
      </c>
      <c r="AO12" s="1307"/>
      <c r="AP12" s="1312">
        <v>2</v>
      </c>
      <c r="AQ12" s="1312">
        <v>0.3</v>
      </c>
      <c r="AR12" s="1312">
        <v>2</v>
      </c>
      <c r="AS12" s="1312">
        <v>0.3</v>
      </c>
      <c r="AT12" s="1312">
        <v>1.3</v>
      </c>
      <c r="AU12" s="1312">
        <v>0.3</v>
      </c>
      <c r="AV12" s="1312">
        <v>3.3</v>
      </c>
      <c r="AW12" s="1312">
        <v>0.6</v>
      </c>
      <c r="AX12" s="1319">
        <v>11.3</v>
      </c>
      <c r="AY12" s="1319">
        <v>1.45</v>
      </c>
      <c r="AZ12" s="1320">
        <v>22044</v>
      </c>
      <c r="BA12" s="1321">
        <v>13721</v>
      </c>
      <c r="BB12" s="1322">
        <f>BC12+BF12</f>
        <v>3385.1</v>
      </c>
      <c r="BC12" s="1323">
        <f>ROUND(AX12*AZ12*12/1000,1)</f>
        <v>2989.2</v>
      </c>
      <c r="BD12" s="1323">
        <f>BH12/AQ12*AY12</f>
        <v>156.6</v>
      </c>
      <c r="BE12" s="1323"/>
      <c r="BF12" s="1323">
        <f>ROUND((BJ12+BL12)/AW12*AY12,1)</f>
        <v>395.9</v>
      </c>
      <c r="BG12" s="1307">
        <v>338</v>
      </c>
      <c r="BH12" s="1307">
        <v>32.4</v>
      </c>
      <c r="BI12" s="1307">
        <v>338</v>
      </c>
      <c r="BJ12" s="1307">
        <v>32.4</v>
      </c>
      <c r="BK12" s="1307">
        <v>301.3</v>
      </c>
      <c r="BL12" s="1307">
        <v>131.4</v>
      </c>
      <c r="BM12" s="1307">
        <v>0</v>
      </c>
      <c r="BN12" s="1307"/>
      <c r="BO12" s="1307">
        <v>0</v>
      </c>
      <c r="BP12" s="1307"/>
      <c r="BQ12" s="1307">
        <v>0</v>
      </c>
      <c r="BR12" s="1307"/>
      <c r="BS12" s="1307">
        <v>0</v>
      </c>
      <c r="BT12" s="1307"/>
      <c r="BU12" s="1323">
        <v>0</v>
      </c>
      <c r="BV12" s="1323"/>
      <c r="BW12" s="1323">
        <v>0</v>
      </c>
      <c r="BX12" s="1323"/>
      <c r="BY12" s="1307">
        <v>0</v>
      </c>
      <c r="BZ12" s="1307"/>
      <c r="CA12" s="1307"/>
      <c r="CB12" s="1307"/>
      <c r="CC12" s="1307">
        <v>0</v>
      </c>
      <c r="CD12" s="1307">
        <v>0</v>
      </c>
      <c r="CE12" s="1248">
        <v>0</v>
      </c>
      <c r="CF12" s="1248"/>
      <c r="CG12" s="1324"/>
      <c r="CH12" s="1324"/>
      <c r="CI12" s="1324">
        <v>0</v>
      </c>
      <c r="CJ12" s="1324">
        <v>0</v>
      </c>
      <c r="CK12" s="1248">
        <v>147.19999999999999</v>
      </c>
      <c r="CL12" s="1248">
        <v>162.19999999999999</v>
      </c>
      <c r="CM12" s="1248">
        <v>5</v>
      </c>
      <c r="CN12" s="1325">
        <v>167.2</v>
      </c>
      <c r="CO12" s="1325"/>
      <c r="CP12" s="1326">
        <f>CL12+CM12-CN12-CO12</f>
        <v>0</v>
      </c>
      <c r="CQ12" s="1248">
        <v>8880.2000000000007</v>
      </c>
      <c r="CR12" s="1248">
        <f>ROUND('Смарт 2015'!$K$12,2)</f>
        <v>7037.62</v>
      </c>
      <c r="CS12" s="1327">
        <f>CT12+CU12</f>
        <v>17817.2</v>
      </c>
      <c r="CT12" s="1327">
        <f>ROUND(CQ12*CN12*12/1000,1)</f>
        <v>17817.2</v>
      </c>
      <c r="CU12" s="1328">
        <f>ROUND(CR12*CO12*12/1000,1)</f>
        <v>0</v>
      </c>
      <c r="CV12" s="1328">
        <f>ROUND((CX12+CY12)/(CL12+CM12)/12*1000,2)</f>
        <v>5761.41</v>
      </c>
      <c r="CW12" s="1248">
        <v>16178.2</v>
      </c>
      <c r="CX12" s="1248">
        <v>11145.500000000002</v>
      </c>
      <c r="CY12" s="1248">
        <v>414.2</v>
      </c>
      <c r="CZ12" s="1234">
        <f t="shared" ref="CZ12:CZ39" si="0">CS12+CJ12+CI12+CH12+CG12+BX12+BW12+BV12+BU12+BF12+BC12+AI12+AG12+N12</f>
        <v>77713</v>
      </c>
      <c r="DA12" s="2">
        <v>0</v>
      </c>
      <c r="DB12" s="2">
        <v>2438</v>
      </c>
      <c r="DC12" s="1329">
        <f>ROUND((DB12/1.0375*1.075*1.088*1.053+DA12),1)</f>
        <v>2894.1</v>
      </c>
      <c r="DD12" s="1434">
        <f>CZ12-DC12</f>
        <v>74818.899999999994</v>
      </c>
      <c r="DE12" s="1324">
        <f>ROUND(DD12*1.302,1)</f>
        <v>97414.2</v>
      </c>
      <c r="DF12" s="433">
        <v>15</v>
      </c>
      <c r="DG12" s="433">
        <v>0</v>
      </c>
      <c r="DH12" s="433">
        <v>5</v>
      </c>
      <c r="DI12" s="433">
        <f>DJ12-DH12-DG12-DF12</f>
        <v>1290</v>
      </c>
      <c r="DJ12" s="1255">
        <v>1310</v>
      </c>
      <c r="DK12" s="1323">
        <f>ROUND((DF12*1353+'не смотреть Субвенции 2017'!DG12*723+'не смотреть Субвенции 2017'!DH12*2613*1.2+'не смотреть Субвенции 2017'!DI12*2613)/1000,1)</f>
        <v>3406.7</v>
      </c>
      <c r="DL12" s="1448">
        <f>DK12+DE12</f>
        <v>100820.9</v>
      </c>
      <c r="DM12" s="1440">
        <v>2486</v>
      </c>
      <c r="DN12" s="1447">
        <f>ROUND(((CS12*1.11445495)-CS12),1)</f>
        <v>2039.3</v>
      </c>
      <c r="DO12" s="1439">
        <f>ROUND((DM12+DL12),1)</f>
        <v>103306.9</v>
      </c>
      <c r="DP12" s="1448">
        <f>ROUND((DN12+DL12)*1000,2)</f>
        <v>102860200</v>
      </c>
      <c r="DQ12" s="1457" t="e">
        <f>#REF!</f>
        <v>#REF!</v>
      </c>
      <c r="DR12" s="1236">
        <v>90898678.670000002</v>
      </c>
      <c r="DS12" s="1451">
        <f>DP12-DR12</f>
        <v>11961521.329999998</v>
      </c>
      <c r="DT12" s="1456" t="e">
        <f>DQ12-DR12</f>
        <v>#REF!</v>
      </c>
    </row>
    <row r="13" spans="1:124" s="1334" customFormat="1" ht="18.75">
      <c r="A13" s="1306" t="s">
        <v>75</v>
      </c>
      <c r="B13" s="1249">
        <v>755</v>
      </c>
      <c r="C13" s="1249">
        <v>755</v>
      </c>
      <c r="D13" s="1249">
        <v>13</v>
      </c>
      <c r="E13" s="1249">
        <v>13</v>
      </c>
      <c r="F13" s="1249">
        <v>0</v>
      </c>
      <c r="G13" s="1308">
        <v>13</v>
      </c>
      <c r="H13" s="1309"/>
      <c r="I13" s="1310">
        <f>'Смарт 2015'!$C$46+'Смарт 2015'!$C$51</f>
        <v>14.8</v>
      </c>
      <c r="J13" s="1310">
        <f>'Смарт 2015'!$I$46</f>
        <v>0</v>
      </c>
      <c r="K13" s="1310">
        <f t="shared" ref="K13:K40" si="1">L13+M13</f>
        <v>5799</v>
      </c>
      <c r="L13" s="1310">
        <f>'Смарт 2015'!$D$46+'Смарт 2015'!$D$51</f>
        <v>5799</v>
      </c>
      <c r="M13" s="1310">
        <f>'Смарт 2015'!$J$46+'Смарт 2015'!$J$51</f>
        <v>0</v>
      </c>
      <c r="N13" s="1311">
        <f t="shared" ref="N13:N40" si="2">O13+P13</f>
        <v>5093.7</v>
      </c>
      <c r="O13" s="1311">
        <f t="shared" ref="O13:O40" si="3">ROUND(L13/I13*G13,1)</f>
        <v>5093.7</v>
      </c>
      <c r="P13" s="1311"/>
      <c r="Q13" s="1249">
        <v>5315</v>
      </c>
      <c r="R13" s="1249">
        <v>5040.3999999999996</v>
      </c>
      <c r="S13" s="1249">
        <v>0</v>
      </c>
      <c r="T13" s="1249">
        <v>94.5</v>
      </c>
      <c r="U13" s="1249">
        <v>0</v>
      </c>
      <c r="V13" s="1313">
        <v>87.5</v>
      </c>
      <c r="W13" s="1313"/>
      <c r="X13" s="1313">
        <v>0</v>
      </c>
      <c r="Y13" s="1313"/>
      <c r="Z13" s="1313">
        <v>87.5</v>
      </c>
      <c r="AA13" s="1313">
        <v>0</v>
      </c>
      <c r="AB13" s="1314">
        <f t="shared" ref="AB13:AB40" si="4">AC13-Z13</f>
        <v>0</v>
      </c>
      <c r="AC13" s="2">
        <v>87.5</v>
      </c>
      <c r="AD13" s="2"/>
      <c r="AE13" s="1331">
        <v>21701.4</v>
      </c>
      <c r="AF13" s="1317">
        <f t="shared" ref="AF13:AF40" si="5">AG13+AI13</f>
        <v>22786.5</v>
      </c>
      <c r="AG13" s="1318">
        <f t="shared" ref="AG13:AG40" si="6">ROUND(AC13*AE13*12/1000,1)</f>
        <v>22786.5</v>
      </c>
      <c r="AH13" s="1318">
        <f t="shared" ref="AH13:AH40" si="7">AM13+AO13</f>
        <v>0</v>
      </c>
      <c r="AI13" s="1318"/>
      <c r="AJ13" s="1249">
        <v>23513.5</v>
      </c>
      <c r="AK13" s="1249"/>
      <c r="AL13" s="1249">
        <v>25623.1</v>
      </c>
      <c r="AM13" s="1249"/>
      <c r="AN13" s="1249">
        <v>0</v>
      </c>
      <c r="AO13" s="1249"/>
      <c r="AP13" s="1313">
        <v>2</v>
      </c>
      <c r="AQ13" s="1313"/>
      <c r="AR13" s="1313">
        <v>6</v>
      </c>
      <c r="AS13" s="1313"/>
      <c r="AT13" s="1313">
        <v>0</v>
      </c>
      <c r="AU13" s="1313"/>
      <c r="AV13" s="1312">
        <v>6</v>
      </c>
      <c r="AW13" s="1312">
        <v>0</v>
      </c>
      <c r="AX13" s="1332">
        <v>7</v>
      </c>
      <c r="AY13" s="1332"/>
      <c r="AZ13" s="1320">
        <v>19612.5</v>
      </c>
      <c r="BA13" s="1321">
        <v>19179.2</v>
      </c>
      <c r="BB13" s="1322">
        <f t="shared" ref="BB13:BB40" si="8">BC13+BF13</f>
        <v>1647.5</v>
      </c>
      <c r="BC13" s="1323">
        <f t="shared" ref="BC13:BC40" si="9">ROUND(AX13*AZ13*12/1000,1)</f>
        <v>1647.5</v>
      </c>
      <c r="BD13" s="1323">
        <f>BJ13+BL13</f>
        <v>0</v>
      </c>
      <c r="BE13" s="1323"/>
      <c r="BF13" s="1323"/>
      <c r="BG13" s="1249">
        <v>397</v>
      </c>
      <c r="BH13" s="1249"/>
      <c r="BI13" s="1249">
        <v>1363.3999999999999</v>
      </c>
      <c r="BJ13" s="1249"/>
      <c r="BK13" s="1249">
        <v>0</v>
      </c>
      <c r="BL13" s="1249"/>
      <c r="BM13" s="1249"/>
      <c r="BN13" s="1249"/>
      <c r="BO13" s="1249"/>
      <c r="BP13" s="1249"/>
      <c r="BQ13" s="1249"/>
      <c r="BR13" s="1249"/>
      <c r="BS13" s="1249"/>
      <c r="BT13" s="1249"/>
      <c r="BU13" s="1333"/>
      <c r="BV13" s="1333"/>
      <c r="BW13" s="1333"/>
      <c r="BX13" s="1333"/>
      <c r="BY13" s="1249"/>
      <c r="BZ13" s="1249"/>
      <c r="CA13" s="1249"/>
      <c r="CB13" s="1249"/>
      <c r="CC13" s="1249"/>
      <c r="CD13" s="1249"/>
      <c r="CE13" s="1249"/>
      <c r="CF13" s="1249"/>
      <c r="CG13" s="1333"/>
      <c r="CH13" s="1333"/>
      <c r="CI13" s="1333"/>
      <c r="CJ13" s="1333"/>
      <c r="CK13" s="1249">
        <v>80.3</v>
      </c>
      <c r="CL13" s="1249">
        <v>85.8</v>
      </c>
      <c r="CM13" s="1249">
        <v>0</v>
      </c>
      <c r="CN13" s="1326">
        <v>86</v>
      </c>
      <c r="CO13" s="1326"/>
      <c r="CP13" s="1326">
        <f t="shared" ref="CP13:CP40" si="10">CL13+CM13-CN13-CO13</f>
        <v>-0.20000000000000284</v>
      </c>
      <c r="CQ13" s="1249">
        <v>9666.4</v>
      </c>
      <c r="CR13" s="1248"/>
      <c r="CS13" s="1327">
        <f t="shared" ref="CS13:CS40" si="11">CT13+CU13</f>
        <v>9975.7000000000007</v>
      </c>
      <c r="CT13" s="1327">
        <f t="shared" ref="CT13:CU40" si="12">ROUND(CQ13*CN13*12/1000,1)</f>
        <v>9975.7000000000007</v>
      </c>
      <c r="CU13" s="1328">
        <f t="shared" si="12"/>
        <v>0</v>
      </c>
      <c r="CV13" s="1328">
        <f t="shared" ref="CV13:CV41" si="13">ROUND((CX13+CY13)/(CL13+CM13)/12*1000,2)</f>
        <v>11718.43</v>
      </c>
      <c r="CW13" s="1249">
        <v>12117.3</v>
      </c>
      <c r="CX13" s="1249">
        <v>12065.3</v>
      </c>
      <c r="CY13" s="1249">
        <v>0</v>
      </c>
      <c r="CZ13" s="1234">
        <f t="shared" si="0"/>
        <v>39503.399999999994</v>
      </c>
      <c r="DA13" s="2">
        <v>0</v>
      </c>
      <c r="DB13" s="2">
        <v>1624.4</v>
      </c>
      <c r="DC13" s="1329">
        <f t="shared" ref="DC13:DC40" si="14">ROUND((DB13/1.0375*1.075*1.088*1.053+DA13),1)</f>
        <v>1928.3</v>
      </c>
      <c r="DD13" s="1434">
        <f t="shared" ref="DD13:DD40" si="15">CZ13-DC13</f>
        <v>37575.099999999991</v>
      </c>
      <c r="DE13" s="1324">
        <f t="shared" ref="DE13:DE40" si="16">ROUND(DD13*1.302,1)</f>
        <v>48922.8</v>
      </c>
      <c r="DF13" s="433">
        <v>0</v>
      </c>
      <c r="DG13" s="433">
        <v>0</v>
      </c>
      <c r="DH13" s="433">
        <v>0</v>
      </c>
      <c r="DI13" s="433">
        <f t="shared" ref="DI13:DI40" si="17">DJ13-DH13-DG13-DF13</f>
        <v>755</v>
      </c>
      <c r="DJ13" s="1255">
        <v>755</v>
      </c>
      <c r="DK13" s="1323">
        <f>ROUND((DF13*1353+'не смотреть Субвенции 2017'!DG13*723+'не смотреть Субвенции 2017'!DH13*2613*1.2+'не смотреть Субвенции 2017'!DI13*2613)/1000,1)</f>
        <v>1972.8</v>
      </c>
      <c r="DL13" s="1448">
        <f t="shared" ref="DL13:DL40" si="18">DK13+DE13</f>
        <v>50895.600000000006</v>
      </c>
      <c r="DM13" s="1440">
        <v>1721.1398400000035</v>
      </c>
      <c r="DN13" s="1447">
        <f t="shared" ref="DN13:DN40" si="19">ROUND(((CS13*1.11445495)-CS13),1)</f>
        <v>1141.8</v>
      </c>
      <c r="DO13" s="1439">
        <f t="shared" ref="DO13:DO40" si="20">ROUND((DM13+DL13),1)</f>
        <v>52616.7</v>
      </c>
      <c r="DP13" s="1448">
        <f t="shared" ref="DP13:DP40" si="21">ROUND((DN13+DL13)*1000,2)</f>
        <v>52037400</v>
      </c>
      <c r="DQ13" s="761" t="e">
        <f>#REF!</f>
        <v>#REF!</v>
      </c>
      <c r="DR13" s="1236">
        <v>56249283.630000003</v>
      </c>
      <c r="DS13" s="1451">
        <f t="shared" ref="DS13:DS40" si="22">DP13-DR13</f>
        <v>-4211883.6300000027</v>
      </c>
      <c r="DT13" s="1456" t="e">
        <f t="shared" ref="DT13:DT40" si="23">DQ13-DR13</f>
        <v>#REF!</v>
      </c>
    </row>
    <row r="14" spans="1:124" s="1334" customFormat="1" ht="18.75">
      <c r="A14" s="1306" t="s">
        <v>85</v>
      </c>
      <c r="B14" s="1249">
        <v>959</v>
      </c>
      <c r="C14" s="1249">
        <v>1032</v>
      </c>
      <c r="D14" s="1249">
        <v>22</v>
      </c>
      <c r="E14" s="1249">
        <v>22</v>
      </c>
      <c r="F14" s="1249">
        <v>0</v>
      </c>
      <c r="G14" s="1308">
        <v>22</v>
      </c>
      <c r="H14" s="1309"/>
      <c r="I14" s="1310">
        <f>'Смарт 2015'!$C$53+'Смарт 2015'!$C$58</f>
        <v>19.2</v>
      </c>
      <c r="J14" s="1310"/>
      <c r="K14" s="1310">
        <f t="shared" si="1"/>
        <v>8136.1</v>
      </c>
      <c r="L14" s="1310">
        <f>'Смарт 2015'!$D$53+'Смарт 2015'!$D$58</f>
        <v>8136.1</v>
      </c>
      <c r="M14" s="1310">
        <f>'Смарт 2015'!$J$53+'Смарт 2015'!$J$58</f>
        <v>0</v>
      </c>
      <c r="N14" s="1311">
        <f t="shared" si="2"/>
        <v>9322.6</v>
      </c>
      <c r="O14" s="1311">
        <f t="shared" si="3"/>
        <v>9322.6</v>
      </c>
      <c r="P14" s="1311"/>
      <c r="Q14" s="1249">
        <v>8372.7999999999993</v>
      </c>
      <c r="R14" s="1249">
        <v>8372.7999999999993</v>
      </c>
      <c r="S14" s="1249">
        <v>0</v>
      </c>
      <c r="T14" s="1249">
        <v>117.3</v>
      </c>
      <c r="U14" s="1249">
        <v>4.9000000000000004</v>
      </c>
      <c r="V14" s="1313">
        <v>117.3</v>
      </c>
      <c r="W14" s="1313">
        <v>4.9000000000000004</v>
      </c>
      <c r="X14" s="1313">
        <v>0</v>
      </c>
      <c r="Y14" s="1313">
        <v>0</v>
      </c>
      <c r="Z14" s="1313">
        <v>117.3</v>
      </c>
      <c r="AA14" s="1313">
        <v>4.9000000000000004</v>
      </c>
      <c r="AB14" s="1314">
        <f t="shared" si="4"/>
        <v>1.7000000000000028</v>
      </c>
      <c r="AC14" s="2">
        <v>119</v>
      </c>
      <c r="AD14" s="2">
        <v>5</v>
      </c>
      <c r="AE14" s="1331">
        <v>23364.9</v>
      </c>
      <c r="AF14" s="1317">
        <f t="shared" si="5"/>
        <v>34128.6</v>
      </c>
      <c r="AG14" s="1318">
        <f t="shared" si="6"/>
        <v>33365.1</v>
      </c>
      <c r="AH14" s="1318">
        <f t="shared" si="7"/>
        <v>748.2</v>
      </c>
      <c r="AI14" s="1318">
        <f t="shared" ref="AI14:AI40" si="24">ROUND(AH14/AA14*AD14,1)</f>
        <v>763.5</v>
      </c>
      <c r="AJ14" s="1249">
        <v>31264.300000000003</v>
      </c>
      <c r="AK14" s="1249">
        <v>748.2</v>
      </c>
      <c r="AL14" s="1249">
        <v>31264.300000000003</v>
      </c>
      <c r="AM14" s="1249">
        <v>748.2</v>
      </c>
      <c r="AN14" s="1249">
        <v>0</v>
      </c>
      <c r="AO14" s="1249">
        <v>0</v>
      </c>
      <c r="AP14" s="1313">
        <v>15.5</v>
      </c>
      <c r="AQ14" s="1313">
        <v>0</v>
      </c>
      <c r="AR14" s="1313">
        <v>15.6</v>
      </c>
      <c r="AS14" s="1313">
        <v>0</v>
      </c>
      <c r="AT14" s="1313">
        <v>0</v>
      </c>
      <c r="AU14" s="1313">
        <v>0</v>
      </c>
      <c r="AV14" s="1312">
        <v>15.6</v>
      </c>
      <c r="AW14" s="1312">
        <v>0</v>
      </c>
      <c r="AX14" s="1332">
        <v>20</v>
      </c>
      <c r="AY14" s="1332">
        <v>0.2</v>
      </c>
      <c r="AZ14" s="1320">
        <v>21515.4</v>
      </c>
      <c r="BA14" s="1321">
        <v>17500</v>
      </c>
      <c r="BB14" s="1322">
        <f t="shared" si="8"/>
        <v>5163.7</v>
      </c>
      <c r="BC14" s="1323">
        <f t="shared" si="9"/>
        <v>5163.7</v>
      </c>
      <c r="BD14" s="1323">
        <f>ROUND(AY14*AZ14*12/1000,1)</f>
        <v>51.6</v>
      </c>
      <c r="BE14" s="1323"/>
      <c r="BF14" s="1323"/>
      <c r="BG14" s="1249">
        <v>3734.0000000000005</v>
      </c>
      <c r="BH14" s="1249">
        <v>0</v>
      </c>
      <c r="BI14" s="1249">
        <v>3734.0000000000005</v>
      </c>
      <c r="BJ14" s="1249">
        <v>0</v>
      </c>
      <c r="BK14" s="1249">
        <v>0</v>
      </c>
      <c r="BL14" s="1249">
        <v>0</v>
      </c>
      <c r="BM14" s="1249">
        <v>0</v>
      </c>
      <c r="BN14" s="1249">
        <v>0</v>
      </c>
      <c r="BO14" s="1249">
        <v>0</v>
      </c>
      <c r="BP14" s="1249">
        <v>0</v>
      </c>
      <c r="BQ14" s="1249">
        <v>0</v>
      </c>
      <c r="BR14" s="1249">
        <v>0</v>
      </c>
      <c r="BS14" s="1249">
        <v>0</v>
      </c>
      <c r="BT14" s="1249">
        <v>0</v>
      </c>
      <c r="BU14" s="1333">
        <v>0</v>
      </c>
      <c r="BV14" s="1333">
        <v>0</v>
      </c>
      <c r="BW14" s="1333">
        <v>0</v>
      </c>
      <c r="BX14" s="1333">
        <v>0</v>
      </c>
      <c r="BY14" s="1249">
        <v>0</v>
      </c>
      <c r="BZ14" s="1249">
        <v>0</v>
      </c>
      <c r="CA14" s="1249">
        <v>0</v>
      </c>
      <c r="CB14" s="1249">
        <v>0</v>
      </c>
      <c r="CC14" s="1249">
        <v>0</v>
      </c>
      <c r="CD14" s="1249">
        <v>0</v>
      </c>
      <c r="CE14" s="1249">
        <v>0</v>
      </c>
      <c r="CF14" s="1249">
        <v>0</v>
      </c>
      <c r="CG14" s="1333">
        <v>0</v>
      </c>
      <c r="CH14" s="1333">
        <v>0</v>
      </c>
      <c r="CI14" s="1333">
        <v>0</v>
      </c>
      <c r="CJ14" s="1333">
        <v>0</v>
      </c>
      <c r="CK14" s="1249">
        <v>126</v>
      </c>
      <c r="CL14" s="1249">
        <v>123.50000000000001</v>
      </c>
      <c r="CM14" s="1249">
        <v>0</v>
      </c>
      <c r="CN14" s="1335">
        <v>123</v>
      </c>
      <c r="CO14" s="1326"/>
      <c r="CP14" s="1326">
        <f t="shared" si="10"/>
        <v>0.50000000000001421</v>
      </c>
      <c r="CQ14" s="1249">
        <v>10435.6</v>
      </c>
      <c r="CR14" s="1248">
        <f>ROUND('Смарт 2015'!$K$57,2)</f>
        <v>10261.780000000001</v>
      </c>
      <c r="CS14" s="1327">
        <f t="shared" si="11"/>
        <v>15402.9</v>
      </c>
      <c r="CT14" s="1327">
        <f t="shared" si="12"/>
        <v>15402.9</v>
      </c>
      <c r="CU14" s="1328">
        <f t="shared" si="12"/>
        <v>0</v>
      </c>
      <c r="CV14" s="1328">
        <f t="shared" si="13"/>
        <v>10746.63</v>
      </c>
      <c r="CW14" s="1249">
        <v>16372.9</v>
      </c>
      <c r="CX14" s="1249">
        <v>15926.5</v>
      </c>
      <c r="CY14" s="1249">
        <v>0</v>
      </c>
      <c r="CZ14" s="1234">
        <f t="shared" si="0"/>
        <v>64017.799999999996</v>
      </c>
      <c r="DA14" s="2">
        <v>0</v>
      </c>
      <c r="DB14" s="2">
        <v>3118.7</v>
      </c>
      <c r="DC14" s="1329">
        <f t="shared" si="14"/>
        <v>3702.1</v>
      </c>
      <c r="DD14" s="1434">
        <f t="shared" si="15"/>
        <v>60315.7</v>
      </c>
      <c r="DE14" s="1324">
        <f t="shared" si="16"/>
        <v>78531</v>
      </c>
      <c r="DF14" s="433">
        <v>0</v>
      </c>
      <c r="DG14" s="433">
        <v>0</v>
      </c>
      <c r="DH14" s="433">
        <v>4</v>
      </c>
      <c r="DI14" s="433">
        <f t="shared" si="17"/>
        <v>1028</v>
      </c>
      <c r="DJ14" s="1255">
        <v>1032</v>
      </c>
      <c r="DK14" s="1323">
        <f>ROUND((DF14*1353+'не смотреть Субвенции 2017'!DG14*723+'не смотреть Субвенции 2017'!DH14*2613*1.2+'не смотреть Субвенции 2017'!DI14*2613)/1000,1)</f>
        <v>2698.7</v>
      </c>
      <c r="DL14" s="1448">
        <f t="shared" si="18"/>
        <v>81229.7</v>
      </c>
      <c r="DM14" s="1440">
        <v>971.80000000000109</v>
      </c>
      <c r="DN14" s="1447">
        <f t="shared" si="19"/>
        <v>1762.9</v>
      </c>
      <c r="DO14" s="1439">
        <f t="shared" si="20"/>
        <v>82201.5</v>
      </c>
      <c r="DP14" s="1448">
        <f t="shared" si="21"/>
        <v>82992600</v>
      </c>
      <c r="DQ14" s="761" t="e">
        <f>#REF!</f>
        <v>#REF!</v>
      </c>
      <c r="DR14" s="1236">
        <v>80407083.040000007</v>
      </c>
      <c r="DS14" s="1254">
        <f t="shared" si="22"/>
        <v>2585516.9599999934</v>
      </c>
      <c r="DT14" s="1450" t="e">
        <f t="shared" si="23"/>
        <v>#REF!</v>
      </c>
    </row>
    <row r="15" spans="1:124" s="1334" customFormat="1" ht="18.75">
      <c r="A15" s="1336" t="s">
        <v>878</v>
      </c>
      <c r="B15" s="1250">
        <v>555</v>
      </c>
      <c r="C15" s="1250">
        <v>534</v>
      </c>
      <c r="D15" s="1249">
        <v>8</v>
      </c>
      <c r="E15" s="1249">
        <v>7.6</v>
      </c>
      <c r="F15" s="1249">
        <v>0</v>
      </c>
      <c r="G15" s="1308">
        <v>7</v>
      </c>
      <c r="H15" s="1309"/>
      <c r="I15" s="1310">
        <f>'Смарт 2015'!$C$60+'Смарт 2015'!$C$65</f>
        <v>8.6999999999999993</v>
      </c>
      <c r="J15" s="1310"/>
      <c r="K15" s="1310">
        <f t="shared" si="1"/>
        <v>3900.5</v>
      </c>
      <c r="L15" s="1310">
        <f>'Смарт 2015'!$D$60+'Смарт 2015'!$D$65</f>
        <v>3900.5</v>
      </c>
      <c r="M15" s="1310">
        <f>'Смарт 2015'!$J$60+'Смарт 2015'!$J$65</f>
        <v>0</v>
      </c>
      <c r="N15" s="1311">
        <f t="shared" si="2"/>
        <v>3138.3</v>
      </c>
      <c r="O15" s="1311">
        <f t="shared" si="3"/>
        <v>3138.3</v>
      </c>
      <c r="P15" s="1311"/>
      <c r="Q15" s="1249">
        <v>4055.0999999999995</v>
      </c>
      <c r="R15" s="1249">
        <v>3887.3999999999996</v>
      </c>
      <c r="S15" s="1249">
        <v>0</v>
      </c>
      <c r="T15" s="1249">
        <v>62</v>
      </c>
      <c r="U15" s="1249"/>
      <c r="V15" s="1313">
        <v>62</v>
      </c>
      <c r="W15" s="1313"/>
      <c r="X15" s="1313">
        <v>0</v>
      </c>
      <c r="Y15" s="1313"/>
      <c r="Z15" s="1313">
        <v>62</v>
      </c>
      <c r="AA15" s="1313">
        <v>0</v>
      </c>
      <c r="AB15" s="1314">
        <f t="shared" si="4"/>
        <v>0</v>
      </c>
      <c r="AC15" s="2">
        <v>62</v>
      </c>
      <c r="AD15" s="2"/>
      <c r="AE15" s="1331">
        <v>21547.7</v>
      </c>
      <c r="AF15" s="1317">
        <f t="shared" si="5"/>
        <v>16031.5</v>
      </c>
      <c r="AG15" s="1318">
        <f t="shared" si="6"/>
        <v>16031.5</v>
      </c>
      <c r="AH15" s="1318">
        <f t="shared" si="7"/>
        <v>0</v>
      </c>
      <c r="AI15" s="1318"/>
      <c r="AJ15" s="1249">
        <v>14535</v>
      </c>
      <c r="AK15" s="1249"/>
      <c r="AL15" s="1249">
        <v>14535</v>
      </c>
      <c r="AM15" s="1249"/>
      <c r="AN15" s="1249">
        <v>0</v>
      </c>
      <c r="AO15" s="1249"/>
      <c r="AP15" s="1313">
        <v>1</v>
      </c>
      <c r="AQ15" s="1313"/>
      <c r="AR15" s="1313">
        <v>1</v>
      </c>
      <c r="AS15" s="1313"/>
      <c r="AT15" s="1313">
        <v>0</v>
      </c>
      <c r="AU15" s="1313"/>
      <c r="AV15" s="1312">
        <v>1</v>
      </c>
      <c r="AW15" s="1312">
        <v>0</v>
      </c>
      <c r="AX15" s="1332">
        <v>1</v>
      </c>
      <c r="AY15" s="1337"/>
      <c r="AZ15" s="1320">
        <v>19331.900000000001</v>
      </c>
      <c r="BA15" s="1321">
        <v>18145.8</v>
      </c>
      <c r="BB15" s="1322">
        <f t="shared" si="8"/>
        <v>232</v>
      </c>
      <c r="BC15" s="1323">
        <f t="shared" si="9"/>
        <v>232</v>
      </c>
      <c r="BD15" s="1323">
        <f>BJ15+BL15</f>
        <v>0</v>
      </c>
      <c r="BE15" s="1323"/>
      <c r="BF15" s="1323"/>
      <c r="BG15" s="1249">
        <v>171.7</v>
      </c>
      <c r="BH15" s="1249"/>
      <c r="BI15" s="1249">
        <v>171.7</v>
      </c>
      <c r="BJ15" s="1249"/>
      <c r="BK15" s="1249">
        <v>0</v>
      </c>
      <c r="BL15" s="1249"/>
      <c r="BM15" s="1249">
        <v>0</v>
      </c>
      <c r="BN15" s="1249"/>
      <c r="BO15" s="1249">
        <v>0</v>
      </c>
      <c r="BP15" s="1249"/>
      <c r="BQ15" s="1249">
        <v>0</v>
      </c>
      <c r="BR15" s="1249"/>
      <c r="BS15" s="1249">
        <v>0</v>
      </c>
      <c r="BT15" s="1249"/>
      <c r="BU15" s="1333">
        <v>0</v>
      </c>
      <c r="BV15" s="1333"/>
      <c r="BW15" s="1333">
        <v>0</v>
      </c>
      <c r="BX15" s="1333"/>
      <c r="BY15" s="1249">
        <v>0</v>
      </c>
      <c r="BZ15" s="1249"/>
      <c r="CA15" s="1249"/>
      <c r="CB15" s="1249"/>
      <c r="CC15" s="1249">
        <v>0</v>
      </c>
      <c r="CD15" s="1249">
        <v>0</v>
      </c>
      <c r="CE15" s="1249">
        <v>0</v>
      </c>
      <c r="CF15" s="1249"/>
      <c r="CG15" s="1333"/>
      <c r="CH15" s="1333"/>
      <c r="CI15" s="1333">
        <v>0</v>
      </c>
      <c r="CJ15" s="1333">
        <v>0</v>
      </c>
      <c r="CK15" s="1249">
        <v>69.2</v>
      </c>
      <c r="CL15" s="1249">
        <v>69.2</v>
      </c>
      <c r="CM15" s="1249">
        <v>0</v>
      </c>
      <c r="CN15" s="1326">
        <v>68</v>
      </c>
      <c r="CO15" s="1326">
        <v>1.2</v>
      </c>
      <c r="CP15" s="1326">
        <f t="shared" si="10"/>
        <v>2.886579864025407E-15</v>
      </c>
      <c r="CQ15" s="1249">
        <v>7095.3</v>
      </c>
      <c r="CR15" s="1248">
        <f>ROUND('Смарт 2015'!$K$64,2)</f>
        <v>7080.25</v>
      </c>
      <c r="CS15" s="1327">
        <f t="shared" si="11"/>
        <v>5891.8</v>
      </c>
      <c r="CT15" s="1327">
        <f t="shared" si="12"/>
        <v>5789.8</v>
      </c>
      <c r="CU15" s="1328">
        <f t="shared" si="12"/>
        <v>102</v>
      </c>
      <c r="CV15" s="1328">
        <f t="shared" si="13"/>
        <v>7964.47</v>
      </c>
      <c r="CW15" s="1249">
        <v>6613.7</v>
      </c>
      <c r="CX15" s="1249">
        <v>6613.7</v>
      </c>
      <c r="CY15" s="1249">
        <v>0</v>
      </c>
      <c r="CZ15" s="1234">
        <f t="shared" si="0"/>
        <v>25293.599999999999</v>
      </c>
      <c r="DA15" s="2">
        <v>0</v>
      </c>
      <c r="DB15" s="2">
        <v>1097.5999999999999</v>
      </c>
      <c r="DC15" s="1329">
        <f t="shared" si="14"/>
        <v>1302.9000000000001</v>
      </c>
      <c r="DD15" s="1434">
        <f t="shared" si="15"/>
        <v>23990.699999999997</v>
      </c>
      <c r="DE15" s="1324">
        <f t="shared" si="16"/>
        <v>31235.9</v>
      </c>
      <c r="DF15" s="433">
        <v>0</v>
      </c>
      <c r="DG15" s="433">
        <v>0</v>
      </c>
      <c r="DH15" s="433">
        <v>1</v>
      </c>
      <c r="DI15" s="433">
        <f t="shared" si="17"/>
        <v>533</v>
      </c>
      <c r="DJ15" s="1255">
        <v>534</v>
      </c>
      <c r="DK15" s="1323">
        <f>ROUND((DF15*1353+'не смотреть Субвенции 2017'!DG15*723+'не смотреть Субвенции 2017'!DH15*2613*1.2+'не смотреть Субвенции 2017'!DI15*2613)/1000,1)</f>
        <v>1395.9</v>
      </c>
      <c r="DL15" s="1448">
        <f t="shared" si="18"/>
        <v>32631.800000000003</v>
      </c>
      <c r="DM15" s="1440">
        <v>1984.2399999999998</v>
      </c>
      <c r="DN15" s="1447">
        <f t="shared" si="19"/>
        <v>674.3</v>
      </c>
      <c r="DO15" s="1439">
        <f t="shared" si="20"/>
        <v>34616</v>
      </c>
      <c r="DP15" s="1448">
        <f t="shared" si="21"/>
        <v>33306100</v>
      </c>
      <c r="DQ15" s="761" t="e">
        <f>#REF!</f>
        <v>#REF!</v>
      </c>
      <c r="DR15" s="1236">
        <v>32646425.189999998</v>
      </c>
      <c r="DS15" s="1254">
        <f t="shared" si="22"/>
        <v>659674.81000000238</v>
      </c>
      <c r="DT15" s="1450" t="e">
        <f t="shared" si="23"/>
        <v>#REF!</v>
      </c>
    </row>
    <row r="16" spans="1:124" s="1334" customFormat="1" ht="18.75">
      <c r="A16" s="1306" t="s">
        <v>89</v>
      </c>
      <c r="B16" s="1249">
        <v>2166</v>
      </c>
      <c r="C16" s="1249">
        <v>2167</v>
      </c>
      <c r="D16" s="1249">
        <v>56.5</v>
      </c>
      <c r="E16" s="1249">
        <v>56.5</v>
      </c>
      <c r="F16" s="1249">
        <v>0</v>
      </c>
      <c r="G16" s="1338">
        <v>54</v>
      </c>
      <c r="H16" s="1339">
        <v>0.5</v>
      </c>
      <c r="I16" s="1340">
        <f>'Смарт 2015'!$C$67+'Смарт 2015'!$C$72</f>
        <v>59.8</v>
      </c>
      <c r="J16" s="1340">
        <f>'Смарт 2015'!$I$67</f>
        <v>0.4</v>
      </c>
      <c r="K16" s="1310">
        <f t="shared" si="1"/>
        <v>23110.5</v>
      </c>
      <c r="L16" s="1310">
        <f>'Смарт 2015'!$D$67+'Смарт 2015'!$D$72</f>
        <v>22960.7</v>
      </c>
      <c r="M16" s="1310">
        <f>'Смарт 2015'!$J$67+'Смарт 2015'!$J$72</f>
        <v>149.80000000000001</v>
      </c>
      <c r="N16" s="1311">
        <f t="shared" si="2"/>
        <v>20921</v>
      </c>
      <c r="O16" s="1311">
        <f t="shared" si="3"/>
        <v>20733.7</v>
      </c>
      <c r="P16" s="1311">
        <f>ROUND(M16/J16*H16,1)</f>
        <v>187.3</v>
      </c>
      <c r="Q16" s="1249">
        <v>22432.800000000003</v>
      </c>
      <c r="R16" s="1249">
        <v>22432.800000000003</v>
      </c>
      <c r="S16" s="1249">
        <v>0</v>
      </c>
      <c r="T16" s="1249">
        <v>264.2</v>
      </c>
      <c r="U16" s="1249">
        <v>7.3000000000000007</v>
      </c>
      <c r="V16" s="1313">
        <v>264.2</v>
      </c>
      <c r="W16" s="1313">
        <v>7.3000000000000007</v>
      </c>
      <c r="X16" s="1313">
        <v>0</v>
      </c>
      <c r="Y16" s="1313">
        <v>0</v>
      </c>
      <c r="Z16" s="1313">
        <v>264.2</v>
      </c>
      <c r="AA16" s="1313">
        <v>7.3000000000000007</v>
      </c>
      <c r="AB16" s="1314">
        <f t="shared" si="4"/>
        <v>-4.1999999999999886</v>
      </c>
      <c r="AC16" s="1341">
        <v>260</v>
      </c>
      <c r="AD16" s="1341">
        <v>8.1999999999999993</v>
      </c>
      <c r="AE16" s="1331">
        <v>22218.5</v>
      </c>
      <c r="AF16" s="1317">
        <f t="shared" si="5"/>
        <v>70664.7</v>
      </c>
      <c r="AG16" s="1318">
        <f t="shared" si="6"/>
        <v>69321.7</v>
      </c>
      <c r="AH16" s="1318">
        <f t="shared" si="7"/>
        <v>1195.6000000000001</v>
      </c>
      <c r="AI16" s="1318">
        <f t="shared" si="24"/>
        <v>1343</v>
      </c>
      <c r="AJ16" s="1249">
        <v>64272.4</v>
      </c>
      <c r="AK16" s="1249">
        <v>1195.6000000000001</v>
      </c>
      <c r="AL16" s="1249">
        <v>64272.4</v>
      </c>
      <c r="AM16" s="1249">
        <v>1195.6000000000001</v>
      </c>
      <c r="AN16" s="1249">
        <v>0</v>
      </c>
      <c r="AO16" s="1249">
        <v>0</v>
      </c>
      <c r="AP16" s="1313">
        <v>14.5</v>
      </c>
      <c r="AQ16" s="1313">
        <v>0</v>
      </c>
      <c r="AR16" s="1313">
        <v>13.399999999999999</v>
      </c>
      <c r="AS16" s="1313">
        <v>0</v>
      </c>
      <c r="AT16" s="1313">
        <v>0</v>
      </c>
      <c r="AU16" s="1313">
        <v>0</v>
      </c>
      <c r="AV16" s="1312">
        <v>13.399999999999999</v>
      </c>
      <c r="AW16" s="1312">
        <v>0</v>
      </c>
      <c r="AX16" s="1342">
        <v>14.5</v>
      </c>
      <c r="AY16" s="1342">
        <v>0</v>
      </c>
      <c r="AZ16" s="1320">
        <v>20184.599999999999</v>
      </c>
      <c r="BA16" s="1321">
        <v>16222</v>
      </c>
      <c r="BB16" s="1322">
        <f t="shared" si="8"/>
        <v>3512.1</v>
      </c>
      <c r="BC16" s="1323">
        <f t="shared" si="9"/>
        <v>3512.1</v>
      </c>
      <c r="BD16" s="1323">
        <f>BJ16+BL16</f>
        <v>0</v>
      </c>
      <c r="BE16" s="1323"/>
      <c r="BF16" s="1323"/>
      <c r="BG16" s="1249">
        <v>2822.7</v>
      </c>
      <c r="BH16" s="1249">
        <v>0</v>
      </c>
      <c r="BI16" s="1249">
        <v>2822.7</v>
      </c>
      <c r="BJ16" s="1249">
        <v>0</v>
      </c>
      <c r="BK16" s="1249">
        <v>0</v>
      </c>
      <c r="BL16" s="1249">
        <v>0</v>
      </c>
      <c r="BM16" s="1249">
        <v>0</v>
      </c>
      <c r="BN16" s="1249">
        <v>0</v>
      </c>
      <c r="BO16" s="1249">
        <v>0</v>
      </c>
      <c r="BP16" s="1249">
        <v>0</v>
      </c>
      <c r="BQ16" s="1249">
        <v>0</v>
      </c>
      <c r="BR16" s="1249">
        <v>0</v>
      </c>
      <c r="BS16" s="1249">
        <v>0</v>
      </c>
      <c r="BT16" s="1249">
        <v>0</v>
      </c>
      <c r="BU16" s="1333">
        <v>0</v>
      </c>
      <c r="BV16" s="1333">
        <v>0</v>
      </c>
      <c r="BW16" s="1333">
        <v>0</v>
      </c>
      <c r="BX16" s="1333">
        <v>0</v>
      </c>
      <c r="BY16" s="1249">
        <v>0</v>
      </c>
      <c r="BZ16" s="1249">
        <v>0</v>
      </c>
      <c r="CA16" s="1249">
        <v>0</v>
      </c>
      <c r="CB16" s="1249">
        <v>0</v>
      </c>
      <c r="CC16" s="1249">
        <v>0</v>
      </c>
      <c r="CD16" s="1249">
        <v>0</v>
      </c>
      <c r="CE16" s="1249">
        <v>0</v>
      </c>
      <c r="CF16" s="1249">
        <v>0</v>
      </c>
      <c r="CG16" s="1333">
        <v>0</v>
      </c>
      <c r="CH16" s="1333">
        <v>0</v>
      </c>
      <c r="CI16" s="1333">
        <v>0</v>
      </c>
      <c r="CJ16" s="1333">
        <v>0</v>
      </c>
      <c r="CK16" s="1249">
        <v>225.40000000000003</v>
      </c>
      <c r="CL16" s="1249">
        <v>225.40000000000003</v>
      </c>
      <c r="CM16" s="1249">
        <v>0</v>
      </c>
      <c r="CN16" s="1343">
        <v>228</v>
      </c>
      <c r="CO16" s="1343">
        <v>6.5</v>
      </c>
      <c r="CP16" s="1326">
        <f t="shared" si="10"/>
        <v>-9.0999999999999659</v>
      </c>
      <c r="CQ16" s="1249">
        <v>8797.7999999999993</v>
      </c>
      <c r="CR16" s="1248">
        <f>ROUND('Смарт 2015'!$K$71,2)</f>
        <v>8391.98</v>
      </c>
      <c r="CS16" s="1327">
        <f t="shared" si="11"/>
        <v>24725.399999999998</v>
      </c>
      <c r="CT16" s="1327">
        <f t="shared" si="12"/>
        <v>24070.799999999999</v>
      </c>
      <c r="CU16" s="1328">
        <f t="shared" si="12"/>
        <v>654.6</v>
      </c>
      <c r="CV16" s="1328">
        <f t="shared" si="13"/>
        <v>8948.8700000000008</v>
      </c>
      <c r="CW16" s="1249">
        <v>24204.9</v>
      </c>
      <c r="CX16" s="1249">
        <v>24204.9</v>
      </c>
      <c r="CY16" s="1249">
        <v>0</v>
      </c>
      <c r="CZ16" s="1234">
        <f t="shared" si="0"/>
        <v>119823.2</v>
      </c>
      <c r="DA16" s="2">
        <v>0</v>
      </c>
      <c r="DB16" s="2">
        <v>6039.5</v>
      </c>
      <c r="DC16" s="1329">
        <f t="shared" si="14"/>
        <v>7169.3</v>
      </c>
      <c r="DD16" s="1434">
        <f t="shared" si="15"/>
        <v>112653.9</v>
      </c>
      <c r="DE16" s="1324">
        <f t="shared" si="16"/>
        <v>146675.4</v>
      </c>
      <c r="DF16" s="433">
        <v>15</v>
      </c>
      <c r="DG16" s="433">
        <v>0</v>
      </c>
      <c r="DH16" s="433">
        <v>1</v>
      </c>
      <c r="DI16" s="433">
        <f t="shared" si="17"/>
        <v>2151</v>
      </c>
      <c r="DJ16" s="1255">
        <v>2167</v>
      </c>
      <c r="DK16" s="1323">
        <f>ROUND((DF16*1353+'не смотреть Субвенции 2017'!DG16*723+'не смотреть Субвенции 2017'!DH16*2613*1.2+'не смотреть Субвенции 2017'!DI16*2613)/1000,1)</f>
        <v>5644</v>
      </c>
      <c r="DL16" s="1448">
        <f t="shared" si="18"/>
        <v>152319.4</v>
      </c>
      <c r="DM16" s="1440">
        <v>4547.1999999999935</v>
      </c>
      <c r="DN16" s="1447">
        <f t="shared" si="19"/>
        <v>2829.9</v>
      </c>
      <c r="DO16" s="1439">
        <f t="shared" si="20"/>
        <v>156866.6</v>
      </c>
      <c r="DP16" s="1448">
        <f t="shared" si="21"/>
        <v>155149300</v>
      </c>
      <c r="DQ16" s="761" t="e">
        <f>#REF!</f>
        <v>#REF!</v>
      </c>
      <c r="DR16" s="1236">
        <v>154820249.57999998</v>
      </c>
      <c r="DS16" s="1254">
        <f t="shared" si="22"/>
        <v>329050.42000001669</v>
      </c>
      <c r="DT16" s="1450" t="e">
        <f t="shared" si="23"/>
        <v>#REF!</v>
      </c>
    </row>
    <row r="17" spans="1:124" s="1334" customFormat="1" ht="18.75">
      <c r="A17" s="1344" t="s">
        <v>90</v>
      </c>
      <c r="B17" s="1249">
        <v>2497</v>
      </c>
      <c r="C17" s="1249">
        <v>2497</v>
      </c>
      <c r="D17" s="1249">
        <v>41.3</v>
      </c>
      <c r="E17" s="1249">
        <v>41.3</v>
      </c>
      <c r="F17" s="1249">
        <v>0</v>
      </c>
      <c r="G17" s="1308">
        <v>41</v>
      </c>
      <c r="H17" s="1309">
        <v>0.3</v>
      </c>
      <c r="I17" s="1310">
        <f>'Смарт 2015'!$C$74+'Смарт 2015'!$C$80</f>
        <v>34</v>
      </c>
      <c r="J17" s="1310">
        <v>0.3</v>
      </c>
      <c r="K17" s="1310">
        <f t="shared" si="1"/>
        <v>11835.5</v>
      </c>
      <c r="L17" s="1310">
        <f>'Смарт 2015'!$D$74+'Смарт 2015'!$D$79</f>
        <v>11789.9</v>
      </c>
      <c r="M17" s="1310">
        <f>'Смарт 2015'!$J$74+'Смарт 2015'!$J$79</f>
        <v>45.6</v>
      </c>
      <c r="N17" s="1311">
        <f t="shared" si="2"/>
        <v>14262.800000000001</v>
      </c>
      <c r="O17" s="1311">
        <f t="shared" si="3"/>
        <v>14217.2</v>
      </c>
      <c r="P17" s="1311">
        <f>ROUND(M17/J17*H17,1)</f>
        <v>45.6</v>
      </c>
      <c r="Q17" s="1249">
        <v>12031.9</v>
      </c>
      <c r="R17" s="1249">
        <v>12031.9</v>
      </c>
      <c r="S17" s="1249">
        <v>0</v>
      </c>
      <c r="T17" s="1249">
        <v>216.1</v>
      </c>
      <c r="U17" s="1249">
        <v>6.8</v>
      </c>
      <c r="V17" s="1313">
        <v>216.1</v>
      </c>
      <c r="W17" s="1313">
        <v>6.8</v>
      </c>
      <c r="X17" s="1313">
        <v>0</v>
      </c>
      <c r="Y17" s="1313">
        <v>0</v>
      </c>
      <c r="Z17" s="1313">
        <v>216.1</v>
      </c>
      <c r="AA17" s="1313">
        <v>6.8</v>
      </c>
      <c r="AB17" s="1314">
        <f t="shared" si="4"/>
        <v>0</v>
      </c>
      <c r="AC17" s="2">
        <v>216.1</v>
      </c>
      <c r="AD17" s="2">
        <v>6.8</v>
      </c>
      <c r="AE17" s="1331">
        <v>21493.4</v>
      </c>
      <c r="AF17" s="1317">
        <f t="shared" si="5"/>
        <v>56633.399999999994</v>
      </c>
      <c r="AG17" s="1318">
        <f t="shared" si="6"/>
        <v>55736.7</v>
      </c>
      <c r="AH17" s="1318">
        <f t="shared" si="7"/>
        <v>896.69999999999993</v>
      </c>
      <c r="AI17" s="1318">
        <f t="shared" si="24"/>
        <v>896.7</v>
      </c>
      <c r="AJ17" s="1249">
        <v>52646</v>
      </c>
      <c r="AK17" s="1249">
        <v>896.09999999999991</v>
      </c>
      <c r="AL17" s="1249">
        <v>52646</v>
      </c>
      <c r="AM17" s="1249">
        <v>896.69999999999993</v>
      </c>
      <c r="AN17" s="1249">
        <v>0</v>
      </c>
      <c r="AO17" s="1249">
        <v>0</v>
      </c>
      <c r="AP17" s="1313">
        <v>38</v>
      </c>
      <c r="AQ17" s="1313">
        <v>1.1000000000000001</v>
      </c>
      <c r="AR17" s="1313">
        <v>38</v>
      </c>
      <c r="AS17" s="1313">
        <v>1.1000000000000001</v>
      </c>
      <c r="AT17" s="1313">
        <v>0</v>
      </c>
      <c r="AU17" s="1313">
        <v>0</v>
      </c>
      <c r="AV17" s="1312">
        <v>38</v>
      </c>
      <c r="AW17" s="1312">
        <v>1.1000000000000001</v>
      </c>
      <c r="AX17" s="1332">
        <v>38</v>
      </c>
      <c r="AY17" s="1332">
        <v>1.1000000000000001</v>
      </c>
      <c r="AZ17" s="1320">
        <v>20816.7</v>
      </c>
      <c r="BA17" s="1321">
        <v>21362.9</v>
      </c>
      <c r="BB17" s="1322">
        <f t="shared" si="8"/>
        <v>9729.9</v>
      </c>
      <c r="BC17" s="1323">
        <f t="shared" si="9"/>
        <v>9492.4</v>
      </c>
      <c r="BD17" s="1323">
        <f>BH17/AQ17*AY17</f>
        <v>237.49999999999997</v>
      </c>
      <c r="BE17" s="1323"/>
      <c r="BF17" s="1323">
        <f>ROUND((BJ17+BL17)/AW17*AY17,1)</f>
        <v>237.5</v>
      </c>
      <c r="BG17" s="1249">
        <v>8903.5999999999985</v>
      </c>
      <c r="BH17" s="1249">
        <v>237.5</v>
      </c>
      <c r="BI17" s="1249">
        <v>8903.5999999999985</v>
      </c>
      <c r="BJ17" s="1249">
        <v>237.5</v>
      </c>
      <c r="BK17" s="1249">
        <v>0</v>
      </c>
      <c r="BL17" s="1249">
        <v>0</v>
      </c>
      <c r="BM17" s="1249">
        <v>0</v>
      </c>
      <c r="BN17" s="1249">
        <v>0</v>
      </c>
      <c r="BO17" s="1249">
        <v>0</v>
      </c>
      <c r="BP17" s="1249">
        <v>0</v>
      </c>
      <c r="BQ17" s="1249">
        <v>0</v>
      </c>
      <c r="BR17" s="1249">
        <v>0</v>
      </c>
      <c r="BS17" s="1249">
        <v>0</v>
      </c>
      <c r="BT17" s="1249">
        <v>0</v>
      </c>
      <c r="BU17" s="1333">
        <v>0</v>
      </c>
      <c r="BV17" s="1333">
        <v>0</v>
      </c>
      <c r="BW17" s="1333">
        <v>0</v>
      </c>
      <c r="BX17" s="1333">
        <v>0</v>
      </c>
      <c r="BY17" s="1249">
        <v>0</v>
      </c>
      <c r="BZ17" s="1249">
        <v>0</v>
      </c>
      <c r="CA17" s="1249">
        <v>0</v>
      </c>
      <c r="CB17" s="1249">
        <v>0</v>
      </c>
      <c r="CC17" s="1249">
        <v>0</v>
      </c>
      <c r="CD17" s="1249">
        <v>0</v>
      </c>
      <c r="CE17" s="1249">
        <v>0</v>
      </c>
      <c r="CF17" s="1249">
        <v>0</v>
      </c>
      <c r="CG17" s="1333">
        <v>0</v>
      </c>
      <c r="CH17" s="1333">
        <v>0</v>
      </c>
      <c r="CI17" s="1333">
        <v>0</v>
      </c>
      <c r="CJ17" s="1333">
        <v>0</v>
      </c>
      <c r="CK17" s="1249">
        <v>244.60000000000002</v>
      </c>
      <c r="CL17" s="1249">
        <v>244.60000000000002</v>
      </c>
      <c r="CM17" s="1249">
        <v>0</v>
      </c>
      <c r="CN17" s="1326">
        <v>241.6</v>
      </c>
      <c r="CO17" s="1326">
        <v>3</v>
      </c>
      <c r="CP17" s="1326">
        <f t="shared" si="10"/>
        <v>2.8421709430404007E-14</v>
      </c>
      <c r="CQ17" s="1249">
        <v>8069.5</v>
      </c>
      <c r="CR17" s="1248">
        <f>ROUND('Смарт 2015'!$K$78,2)</f>
        <v>6550</v>
      </c>
      <c r="CS17" s="1327">
        <f t="shared" si="11"/>
        <v>23630.899999999998</v>
      </c>
      <c r="CT17" s="1327">
        <f t="shared" si="12"/>
        <v>23395.1</v>
      </c>
      <c r="CU17" s="1328">
        <f t="shared" si="12"/>
        <v>235.8</v>
      </c>
      <c r="CV17" s="1328">
        <f t="shared" si="13"/>
        <v>8608.89</v>
      </c>
      <c r="CW17" s="1249">
        <v>25268.799999999999</v>
      </c>
      <c r="CX17" s="1249">
        <v>25268.799999999999</v>
      </c>
      <c r="CY17" s="1249">
        <v>0</v>
      </c>
      <c r="CZ17" s="1234">
        <f t="shared" si="0"/>
        <v>104256.99999999999</v>
      </c>
      <c r="DA17" s="2">
        <v>0</v>
      </c>
      <c r="DB17" s="2">
        <v>3285</v>
      </c>
      <c r="DC17" s="1329">
        <f t="shared" si="14"/>
        <v>3899.5</v>
      </c>
      <c r="DD17" s="1434">
        <f t="shared" si="15"/>
        <v>100357.49999999999</v>
      </c>
      <c r="DE17" s="1324">
        <f t="shared" si="16"/>
        <v>130665.5</v>
      </c>
      <c r="DF17" s="433">
        <v>209</v>
      </c>
      <c r="DG17" s="433">
        <v>0</v>
      </c>
      <c r="DH17" s="433">
        <v>26</v>
      </c>
      <c r="DI17" s="433">
        <f t="shared" si="17"/>
        <v>2262</v>
      </c>
      <c r="DJ17" s="1255">
        <v>2497</v>
      </c>
      <c r="DK17" s="1323">
        <f>ROUND((DF17*1353+'не смотреть Субвенции 2017'!DG17*723+'не смотреть Субвенции 2017'!DH17*2613*1.2+'не смотреть Субвенции 2017'!DI17*2613)/1000,1)</f>
        <v>6274.9</v>
      </c>
      <c r="DL17" s="1448">
        <f t="shared" si="18"/>
        <v>136940.4</v>
      </c>
      <c r="DM17" s="1440">
        <v>6418</v>
      </c>
      <c r="DN17" s="1447">
        <f t="shared" si="19"/>
        <v>2704.7</v>
      </c>
      <c r="DO17" s="1439">
        <f t="shared" si="20"/>
        <v>143358.39999999999</v>
      </c>
      <c r="DP17" s="1448">
        <f t="shared" si="21"/>
        <v>139645100</v>
      </c>
      <c r="DQ17" s="761" t="e">
        <f>#REF!</f>
        <v>#REF!</v>
      </c>
      <c r="DR17" s="1236">
        <v>136244370.66</v>
      </c>
      <c r="DS17" s="1254">
        <f t="shared" si="22"/>
        <v>3400729.3400000036</v>
      </c>
      <c r="DT17" s="1450" t="e">
        <f t="shared" si="23"/>
        <v>#REF!</v>
      </c>
    </row>
    <row r="18" spans="1:124" s="1334" customFormat="1" ht="18.75">
      <c r="A18" s="1452" t="s">
        <v>92</v>
      </c>
      <c r="B18" s="1249">
        <v>1717</v>
      </c>
      <c r="C18" s="1249">
        <v>1817</v>
      </c>
      <c r="D18" s="1249">
        <v>33</v>
      </c>
      <c r="E18" s="1249">
        <v>37</v>
      </c>
      <c r="F18" s="1249">
        <v>0</v>
      </c>
      <c r="G18" s="1308">
        <v>36</v>
      </c>
      <c r="H18" s="1309">
        <v>1</v>
      </c>
      <c r="I18" s="1310">
        <f>'Смарт 2015'!$C$82+'Смарт 2015'!$C$88</f>
        <v>24</v>
      </c>
      <c r="J18" s="1310">
        <v>1.1000000000000001</v>
      </c>
      <c r="K18" s="1310">
        <f t="shared" si="1"/>
        <v>15684.300000000001</v>
      </c>
      <c r="L18" s="1310">
        <f>'Смарт 2015'!$D$82+'Смарт 2015'!$D$87</f>
        <v>15684.300000000001</v>
      </c>
      <c r="M18" s="1310">
        <f>'Смарт 2015'!$J$60+'Смарт 2015'!$J$65</f>
        <v>0</v>
      </c>
      <c r="N18" s="1311">
        <f t="shared" si="2"/>
        <v>23526.5</v>
      </c>
      <c r="O18" s="1311">
        <f t="shared" si="3"/>
        <v>23526.5</v>
      </c>
      <c r="P18" s="1311">
        <f>ROUND(M18/J18*H18,1)</f>
        <v>0</v>
      </c>
      <c r="Q18" s="1249">
        <v>16311.2</v>
      </c>
      <c r="R18" s="1249">
        <v>17862.199999999997</v>
      </c>
      <c r="S18" s="1249">
        <v>0</v>
      </c>
      <c r="T18" s="1249">
        <v>171.60000000000002</v>
      </c>
      <c r="U18" s="1249">
        <v>8.1000000000000014</v>
      </c>
      <c r="V18" s="1313">
        <v>172.8</v>
      </c>
      <c r="W18" s="1313">
        <v>8.8000000000000007</v>
      </c>
      <c r="X18" s="1313">
        <v>0</v>
      </c>
      <c r="Y18" s="1313">
        <v>0</v>
      </c>
      <c r="Z18" s="1313">
        <v>172.8</v>
      </c>
      <c r="AA18" s="1313">
        <v>8.8000000000000007</v>
      </c>
      <c r="AB18" s="1314">
        <f t="shared" si="4"/>
        <v>0.39999999999997726</v>
      </c>
      <c r="AC18" s="2">
        <v>173.2</v>
      </c>
      <c r="AD18" s="2">
        <v>8.8000000000000007</v>
      </c>
      <c r="AE18" s="1331">
        <v>22163.7</v>
      </c>
      <c r="AF18" s="1317">
        <f t="shared" si="5"/>
        <v>47424.6</v>
      </c>
      <c r="AG18" s="1318">
        <f t="shared" si="6"/>
        <v>46065</v>
      </c>
      <c r="AH18" s="1318">
        <f t="shared" si="7"/>
        <v>1359.6</v>
      </c>
      <c r="AI18" s="1318">
        <f t="shared" si="24"/>
        <v>1359.6</v>
      </c>
      <c r="AJ18" s="1249">
        <v>44803.200000000004</v>
      </c>
      <c r="AK18" s="1249">
        <v>1359.6</v>
      </c>
      <c r="AL18" s="1249">
        <v>44670.3</v>
      </c>
      <c r="AM18" s="1249">
        <v>1359.6</v>
      </c>
      <c r="AN18" s="1249">
        <v>0</v>
      </c>
      <c r="AO18" s="1249">
        <v>0</v>
      </c>
      <c r="AP18" s="1313">
        <v>3</v>
      </c>
      <c r="AQ18" s="1313">
        <v>0.7</v>
      </c>
      <c r="AR18" s="1313">
        <v>9</v>
      </c>
      <c r="AS18" s="1313">
        <v>1.2</v>
      </c>
      <c r="AT18" s="1313">
        <v>0</v>
      </c>
      <c r="AU18" s="1313">
        <v>0</v>
      </c>
      <c r="AV18" s="1312">
        <v>9</v>
      </c>
      <c r="AW18" s="1312">
        <v>1.2</v>
      </c>
      <c r="AX18" s="1332">
        <v>9.1999999999999993</v>
      </c>
      <c r="AY18" s="1332">
        <v>1</v>
      </c>
      <c r="AZ18" s="1320">
        <v>18791.7</v>
      </c>
      <c r="BA18" s="1321">
        <v>18611.099999999999</v>
      </c>
      <c r="BB18" s="1322">
        <f t="shared" si="8"/>
        <v>2193.6999999999998</v>
      </c>
      <c r="BC18" s="1323">
        <f t="shared" si="9"/>
        <v>2074.6</v>
      </c>
      <c r="BD18" s="1323">
        <f>BH18/AQ18*AY18</f>
        <v>99.857142857142875</v>
      </c>
      <c r="BE18" s="1323"/>
      <c r="BF18" s="1323">
        <f>ROUND((BJ18+BL18)/AW18*AY18,1)</f>
        <v>119.1</v>
      </c>
      <c r="BG18" s="1249">
        <v>677.2</v>
      </c>
      <c r="BH18" s="1249">
        <v>69.900000000000006</v>
      </c>
      <c r="BI18" s="1249">
        <v>2055.6</v>
      </c>
      <c r="BJ18" s="1249">
        <v>142.9</v>
      </c>
      <c r="BK18" s="1249">
        <v>0</v>
      </c>
      <c r="BL18" s="1249">
        <v>0</v>
      </c>
      <c r="BM18" s="1249">
        <v>1</v>
      </c>
      <c r="BN18" s="1249">
        <v>0</v>
      </c>
      <c r="BO18" s="1249">
        <v>1</v>
      </c>
      <c r="BP18" s="1249">
        <v>0</v>
      </c>
      <c r="BQ18" s="1249">
        <v>0</v>
      </c>
      <c r="BR18" s="1249">
        <v>0</v>
      </c>
      <c r="BS18" s="1249">
        <v>222.8</v>
      </c>
      <c r="BT18" s="1249">
        <v>0</v>
      </c>
      <c r="BU18" s="1333">
        <v>192.1</v>
      </c>
      <c r="BV18" s="1333">
        <v>0</v>
      </c>
      <c r="BW18" s="1333">
        <v>0</v>
      </c>
      <c r="BX18" s="1333">
        <v>0</v>
      </c>
      <c r="BY18" s="1249">
        <v>0</v>
      </c>
      <c r="BZ18" s="1249">
        <v>0.5</v>
      </c>
      <c r="CA18" s="1249">
        <v>0</v>
      </c>
      <c r="CB18" s="1249">
        <v>0.5</v>
      </c>
      <c r="CC18" s="1249">
        <v>0</v>
      </c>
      <c r="CD18" s="1249">
        <v>0</v>
      </c>
      <c r="CE18" s="1249">
        <v>0</v>
      </c>
      <c r="CF18" s="1249">
        <v>37</v>
      </c>
      <c r="CG18" s="1333">
        <v>0</v>
      </c>
      <c r="CH18" s="1333">
        <v>37</v>
      </c>
      <c r="CI18" s="1333">
        <v>0</v>
      </c>
      <c r="CJ18" s="1333">
        <v>0</v>
      </c>
      <c r="CK18" s="1249">
        <v>163.6</v>
      </c>
      <c r="CL18" s="1249">
        <v>186.1</v>
      </c>
      <c r="CM18" s="1249">
        <v>0</v>
      </c>
      <c r="CN18" s="1325">
        <v>176</v>
      </c>
      <c r="CO18" s="1325">
        <v>16.100000000000001</v>
      </c>
      <c r="CP18" s="1325">
        <f t="shared" si="10"/>
        <v>-6.0000000000000071</v>
      </c>
      <c r="CQ18" s="1249">
        <v>9154.2999999999993</v>
      </c>
      <c r="CR18" s="1248">
        <f>ROUND('Смарт 2015'!$K$86,2)</f>
        <v>7661.96</v>
      </c>
      <c r="CS18" s="1327">
        <f t="shared" si="11"/>
        <v>20814.2</v>
      </c>
      <c r="CT18" s="1327">
        <f t="shared" si="12"/>
        <v>19333.900000000001</v>
      </c>
      <c r="CU18" s="1328">
        <f t="shared" si="12"/>
        <v>1480.3</v>
      </c>
      <c r="CV18" s="1328">
        <f t="shared" si="13"/>
        <v>9267.2000000000007</v>
      </c>
      <c r="CW18" s="1249">
        <v>18241</v>
      </c>
      <c r="CX18" s="1249">
        <v>20695.5</v>
      </c>
      <c r="CY18" s="1249">
        <v>0</v>
      </c>
      <c r="CZ18" s="1234">
        <f t="shared" si="0"/>
        <v>94188.099999999991</v>
      </c>
      <c r="DA18" s="2">
        <v>0</v>
      </c>
      <c r="DB18" s="2">
        <v>1412.3999999999999</v>
      </c>
      <c r="DC18" s="1329">
        <f t="shared" si="14"/>
        <v>1676.6</v>
      </c>
      <c r="DD18" s="1434">
        <f t="shared" si="15"/>
        <v>92511.499999999985</v>
      </c>
      <c r="DE18" s="1324">
        <f t="shared" si="16"/>
        <v>120450</v>
      </c>
      <c r="DF18" s="433">
        <v>40</v>
      </c>
      <c r="DG18" s="433">
        <v>0</v>
      </c>
      <c r="DH18" s="433">
        <v>6</v>
      </c>
      <c r="DI18" s="433">
        <f t="shared" si="17"/>
        <v>1771</v>
      </c>
      <c r="DJ18" s="1255">
        <v>1817</v>
      </c>
      <c r="DK18" s="1323">
        <f>ROUND((DF18*1353+'не смотреть Субвенции 2017'!DG18*723+'не смотреть Субвенции 2017'!DH18*2613*1.2+'не смотреть Субвенции 2017'!DI18*2613)/1000,1)</f>
        <v>4700.6000000000004</v>
      </c>
      <c r="DL18" s="1448">
        <f t="shared" si="18"/>
        <v>125150.6</v>
      </c>
      <c r="DM18" s="1440">
        <v>3546</v>
      </c>
      <c r="DN18" s="1447">
        <f t="shared" si="19"/>
        <v>2382.3000000000002</v>
      </c>
      <c r="DO18" s="1439">
        <f t="shared" si="20"/>
        <v>128696.6</v>
      </c>
      <c r="DP18" s="1448">
        <f t="shared" si="21"/>
        <v>127532900</v>
      </c>
      <c r="DQ18" s="1457" t="e">
        <f>#REF!</f>
        <v>#REF!</v>
      </c>
      <c r="DR18" s="1236">
        <v>110708313.81</v>
      </c>
      <c r="DS18" s="1451">
        <f t="shared" si="22"/>
        <v>16824586.189999998</v>
      </c>
      <c r="DT18" s="1456" t="e">
        <f t="shared" si="23"/>
        <v>#REF!</v>
      </c>
    </row>
    <row r="19" spans="1:124" s="1334" customFormat="1" ht="18.75">
      <c r="A19" s="1306" t="s">
        <v>94</v>
      </c>
      <c r="B19" s="1249">
        <v>1284</v>
      </c>
      <c r="C19" s="1249">
        <v>1283</v>
      </c>
      <c r="D19" s="1249">
        <v>29.8</v>
      </c>
      <c r="E19" s="1249">
        <v>29.8</v>
      </c>
      <c r="F19" s="1249">
        <v>0</v>
      </c>
      <c r="G19" s="1308">
        <v>29</v>
      </c>
      <c r="H19" s="1309">
        <v>0</v>
      </c>
      <c r="I19" s="1310">
        <f>'Смарт 2015'!$C$90+'Смарт 2015'!$C$95</f>
        <v>31.8</v>
      </c>
      <c r="J19" s="1310">
        <v>0.3</v>
      </c>
      <c r="K19" s="1310">
        <f t="shared" si="1"/>
        <v>15547.8</v>
      </c>
      <c r="L19" s="1310">
        <f>'Смарт 2015'!$D$90+'Смарт 2015'!$D$95</f>
        <v>15472.9</v>
      </c>
      <c r="M19" s="1310">
        <f>'Смарт 2015'!$J$90+'Смарт 2015'!$J$95</f>
        <v>74.900000000000006</v>
      </c>
      <c r="N19" s="1311">
        <f t="shared" si="2"/>
        <v>14110.5</v>
      </c>
      <c r="O19" s="1311">
        <f t="shared" si="3"/>
        <v>14110.5</v>
      </c>
      <c r="P19" s="1311">
        <f>ROUND(M19/J19*H19,1)</f>
        <v>0</v>
      </c>
      <c r="Q19" s="1249">
        <v>11208</v>
      </c>
      <c r="R19" s="1249">
        <v>11208</v>
      </c>
      <c r="S19" s="1249">
        <v>0</v>
      </c>
      <c r="T19" s="1249">
        <v>120.6</v>
      </c>
      <c r="U19" s="1249">
        <v>4</v>
      </c>
      <c r="V19" s="1313">
        <v>120.6</v>
      </c>
      <c r="W19" s="1313">
        <v>4</v>
      </c>
      <c r="X19" s="1313">
        <v>0</v>
      </c>
      <c r="Y19" s="1313"/>
      <c r="Z19" s="1313">
        <v>120.6</v>
      </c>
      <c r="AA19" s="1313">
        <v>4</v>
      </c>
      <c r="AB19" s="1314">
        <f t="shared" si="4"/>
        <v>1.7000000000000028</v>
      </c>
      <c r="AC19" s="2">
        <v>122.3</v>
      </c>
      <c r="AD19" s="2">
        <v>4.5</v>
      </c>
      <c r="AE19" s="1331">
        <v>21849.9</v>
      </c>
      <c r="AF19" s="1317">
        <f t="shared" si="5"/>
        <v>32815</v>
      </c>
      <c r="AG19" s="1318">
        <f t="shared" si="6"/>
        <v>32066.9</v>
      </c>
      <c r="AH19" s="1318">
        <f t="shared" si="7"/>
        <v>665</v>
      </c>
      <c r="AI19" s="1318">
        <f t="shared" si="24"/>
        <v>748.1</v>
      </c>
      <c r="AJ19" s="1249">
        <v>30189.9</v>
      </c>
      <c r="AK19" s="1249">
        <v>665</v>
      </c>
      <c r="AL19" s="1249">
        <v>30189.9</v>
      </c>
      <c r="AM19" s="1249">
        <v>665</v>
      </c>
      <c r="AN19" s="1249">
        <v>0</v>
      </c>
      <c r="AO19" s="1249"/>
      <c r="AP19" s="1313">
        <v>9.5</v>
      </c>
      <c r="AQ19" s="1313">
        <v>0</v>
      </c>
      <c r="AR19" s="1313">
        <v>10.5</v>
      </c>
      <c r="AS19" s="1313">
        <v>0</v>
      </c>
      <c r="AT19" s="1313">
        <v>0</v>
      </c>
      <c r="AU19" s="1313"/>
      <c r="AV19" s="1312">
        <v>10.5</v>
      </c>
      <c r="AW19" s="1312">
        <v>0</v>
      </c>
      <c r="AX19" s="1345">
        <v>11</v>
      </c>
      <c r="AY19" s="1345">
        <v>0</v>
      </c>
      <c r="AZ19" s="1320">
        <v>21484</v>
      </c>
      <c r="BA19" s="1321">
        <v>14517.9</v>
      </c>
      <c r="BB19" s="1322">
        <f t="shared" si="8"/>
        <v>2835.9</v>
      </c>
      <c r="BC19" s="1323">
        <f t="shared" si="9"/>
        <v>2835.9</v>
      </c>
      <c r="BD19" s="1323">
        <f>BJ19+BL19</f>
        <v>0</v>
      </c>
      <c r="BE19" s="1323"/>
      <c r="BF19" s="1323"/>
      <c r="BG19" s="1249">
        <v>1602</v>
      </c>
      <c r="BH19" s="1249">
        <v>0</v>
      </c>
      <c r="BI19" s="1249">
        <v>1963.2</v>
      </c>
      <c r="BJ19" s="1249">
        <v>0</v>
      </c>
      <c r="BK19" s="1249">
        <v>0</v>
      </c>
      <c r="BL19" s="1249"/>
      <c r="BM19" s="1249">
        <v>0</v>
      </c>
      <c r="BN19" s="1249"/>
      <c r="BO19" s="1249">
        <v>0</v>
      </c>
      <c r="BP19" s="1249"/>
      <c r="BQ19" s="1249">
        <v>0</v>
      </c>
      <c r="BR19" s="1249"/>
      <c r="BS19" s="1249">
        <v>0</v>
      </c>
      <c r="BT19" s="1249"/>
      <c r="BU19" s="1333">
        <v>0</v>
      </c>
      <c r="BV19" s="1333"/>
      <c r="BW19" s="1333">
        <v>0</v>
      </c>
      <c r="BX19" s="1333"/>
      <c r="BY19" s="1249">
        <v>0</v>
      </c>
      <c r="BZ19" s="1249"/>
      <c r="CA19" s="1249"/>
      <c r="CB19" s="1249"/>
      <c r="CC19" s="1249">
        <v>0</v>
      </c>
      <c r="CD19" s="1249">
        <v>0</v>
      </c>
      <c r="CE19" s="1249">
        <v>0</v>
      </c>
      <c r="CF19" s="1249"/>
      <c r="CG19" s="1333"/>
      <c r="CH19" s="1333"/>
      <c r="CI19" s="1333">
        <v>0</v>
      </c>
      <c r="CJ19" s="1333">
        <v>0</v>
      </c>
      <c r="CK19" s="1249">
        <v>165.7</v>
      </c>
      <c r="CL19" s="1249">
        <v>172.39999999999998</v>
      </c>
      <c r="CM19" s="1249">
        <v>0</v>
      </c>
      <c r="CN19" s="1325">
        <v>172</v>
      </c>
      <c r="CO19" s="1325">
        <v>9.5</v>
      </c>
      <c r="CP19" s="1335">
        <f t="shared" si="10"/>
        <v>-9.1000000000000227</v>
      </c>
      <c r="CQ19" s="1249">
        <v>12107.1</v>
      </c>
      <c r="CR19" s="1248">
        <f>ROUND('Смарт 2015'!$K$94,2)</f>
        <v>8388.89</v>
      </c>
      <c r="CS19" s="1327">
        <f t="shared" si="11"/>
        <v>25945.399999999998</v>
      </c>
      <c r="CT19" s="1327">
        <f t="shared" si="12"/>
        <v>24989.1</v>
      </c>
      <c r="CU19" s="1328">
        <f t="shared" si="12"/>
        <v>956.3</v>
      </c>
      <c r="CV19" s="1328">
        <f t="shared" si="13"/>
        <v>11846.96</v>
      </c>
      <c r="CW19" s="1249">
        <v>23859</v>
      </c>
      <c r="CX19" s="1249">
        <v>24509</v>
      </c>
      <c r="CY19" s="1249">
        <v>0</v>
      </c>
      <c r="CZ19" s="1234">
        <f t="shared" si="0"/>
        <v>75706.8</v>
      </c>
      <c r="DA19" s="2">
        <v>0</v>
      </c>
      <c r="DB19" s="2">
        <v>2111.4</v>
      </c>
      <c r="DC19" s="1329">
        <f t="shared" si="14"/>
        <v>2506.4</v>
      </c>
      <c r="DD19" s="1434">
        <f t="shared" si="15"/>
        <v>73200.400000000009</v>
      </c>
      <c r="DE19" s="1324">
        <f t="shared" si="16"/>
        <v>95306.9</v>
      </c>
      <c r="DF19" s="433">
        <v>0</v>
      </c>
      <c r="DG19" s="433">
        <v>0</v>
      </c>
      <c r="DH19" s="433">
        <v>8</v>
      </c>
      <c r="DI19" s="433">
        <f t="shared" si="17"/>
        <v>1276</v>
      </c>
      <c r="DJ19" s="1257">
        <v>1284</v>
      </c>
      <c r="DK19" s="1323">
        <f>ROUND((DF19*1353+'не смотреть Субвенции 2017'!DG19*723+'не смотреть Субвенции 2017'!DH19*2613*1.2+'не смотреть Субвенции 2017'!DI19*2613)/1000,1)</f>
        <v>3359.3</v>
      </c>
      <c r="DL19" s="1448">
        <f t="shared" si="18"/>
        <v>98666.2</v>
      </c>
      <c r="DM19" s="1440">
        <v>156</v>
      </c>
      <c r="DN19" s="1447">
        <f t="shared" si="19"/>
        <v>2969.6</v>
      </c>
      <c r="DO19" s="1439">
        <f t="shared" si="20"/>
        <v>98822.2</v>
      </c>
      <c r="DP19" s="1448">
        <f t="shared" si="21"/>
        <v>101635800</v>
      </c>
      <c r="DQ19" s="761" t="e">
        <f>#REF!</f>
        <v>#REF!</v>
      </c>
      <c r="DR19" s="1236">
        <v>95943581.659999996</v>
      </c>
      <c r="DS19" s="1254">
        <f t="shared" si="22"/>
        <v>5692218.3400000036</v>
      </c>
      <c r="DT19" s="1450" t="e">
        <f t="shared" si="23"/>
        <v>#REF!</v>
      </c>
    </row>
    <row r="20" spans="1:124" s="1334" customFormat="1" ht="18.75">
      <c r="A20" s="1453" t="s">
        <v>96</v>
      </c>
      <c r="B20" s="1249">
        <v>2982</v>
      </c>
      <c r="C20" s="1249">
        <v>2983</v>
      </c>
      <c r="D20" s="1249">
        <v>45.2</v>
      </c>
      <c r="E20" s="1249">
        <v>45.2</v>
      </c>
      <c r="F20" s="1249">
        <v>0</v>
      </c>
      <c r="G20" s="1308">
        <v>44.5</v>
      </c>
      <c r="H20" s="1309">
        <v>1</v>
      </c>
      <c r="I20" s="1310">
        <f>'Смарт 2015'!$C$97+'Смарт 2015'!$C$103</f>
        <v>33.900000000000006</v>
      </c>
      <c r="J20" s="1310">
        <v>1</v>
      </c>
      <c r="K20" s="1310">
        <f t="shared" si="1"/>
        <v>23981</v>
      </c>
      <c r="L20" s="1310">
        <f>'Смарт 2015'!$D$97+'Смарт 2015'!$D$102</f>
        <v>23732.7</v>
      </c>
      <c r="M20" s="1310">
        <f>'Смарт 2015'!$J$97+'Смарт 2015'!$J$102</f>
        <v>248.3</v>
      </c>
      <c r="N20" s="1311">
        <f t="shared" si="2"/>
        <v>31401.8</v>
      </c>
      <c r="O20" s="1311">
        <f t="shared" si="3"/>
        <v>31153.5</v>
      </c>
      <c r="P20" s="1311">
        <f>ROUND(M20/J20*H20,1)</f>
        <v>248.3</v>
      </c>
      <c r="Q20" s="1249">
        <v>22732.799999999999</v>
      </c>
      <c r="R20" s="1249">
        <v>22732.799999999999</v>
      </c>
      <c r="S20" s="1249">
        <v>0</v>
      </c>
      <c r="T20" s="1249">
        <v>284.3</v>
      </c>
      <c r="U20" s="1249">
        <v>26.299999999999997</v>
      </c>
      <c r="V20" s="1313">
        <v>284.3</v>
      </c>
      <c r="W20" s="1313">
        <v>26.299999999999997</v>
      </c>
      <c r="X20" s="1313">
        <v>0</v>
      </c>
      <c r="Y20" s="1313"/>
      <c r="Z20" s="1313">
        <v>284.3</v>
      </c>
      <c r="AA20" s="1313">
        <v>26.299999999999997</v>
      </c>
      <c r="AB20" s="1314">
        <f t="shared" si="4"/>
        <v>-0.90000000000003411</v>
      </c>
      <c r="AC20" s="2">
        <v>283.39999999999998</v>
      </c>
      <c r="AD20" s="2">
        <v>22.3</v>
      </c>
      <c r="AE20" s="1331">
        <v>23035.1</v>
      </c>
      <c r="AF20" s="1317">
        <f t="shared" si="5"/>
        <v>82089.2</v>
      </c>
      <c r="AG20" s="1318">
        <f t="shared" si="6"/>
        <v>78337.8</v>
      </c>
      <c r="AH20" s="1318">
        <f t="shared" si="7"/>
        <v>4424.3</v>
      </c>
      <c r="AI20" s="1318">
        <f t="shared" si="24"/>
        <v>3751.4</v>
      </c>
      <c r="AJ20" s="1249">
        <v>71233</v>
      </c>
      <c r="AK20" s="1249">
        <v>4424.3</v>
      </c>
      <c r="AL20" s="1249">
        <v>73409</v>
      </c>
      <c r="AM20" s="1249">
        <v>4424.3</v>
      </c>
      <c r="AN20" s="1249">
        <v>0</v>
      </c>
      <c r="AO20" s="1249"/>
      <c r="AP20" s="1313">
        <v>8</v>
      </c>
      <c r="AQ20" s="1313"/>
      <c r="AR20" s="1313">
        <v>8</v>
      </c>
      <c r="AS20" s="1313"/>
      <c r="AT20" s="1313">
        <v>0</v>
      </c>
      <c r="AU20" s="1313"/>
      <c r="AV20" s="1312">
        <v>8</v>
      </c>
      <c r="AW20" s="1312">
        <v>0</v>
      </c>
      <c r="AX20" s="1332">
        <v>8</v>
      </c>
      <c r="AY20" s="1332">
        <v>0</v>
      </c>
      <c r="AZ20" s="1320">
        <v>20934.8</v>
      </c>
      <c r="BA20" s="1321">
        <v>19034.7</v>
      </c>
      <c r="BB20" s="1322">
        <f t="shared" si="8"/>
        <v>2009.7</v>
      </c>
      <c r="BC20" s="1323">
        <f t="shared" si="9"/>
        <v>2009.7</v>
      </c>
      <c r="BD20" s="1323">
        <f t="shared" ref="BD20:BD27" si="25">BJ20+BL20</f>
        <v>0</v>
      </c>
      <c r="BE20" s="1323"/>
      <c r="BF20" s="1323"/>
      <c r="BG20" s="1249">
        <v>1658.1999999999998</v>
      </c>
      <c r="BH20" s="1249"/>
      <c r="BI20" s="1249">
        <v>1658.1999999999998</v>
      </c>
      <c r="BJ20" s="1249"/>
      <c r="BK20" s="1249">
        <v>0</v>
      </c>
      <c r="BL20" s="1249"/>
      <c r="BM20" s="1249">
        <v>0</v>
      </c>
      <c r="BN20" s="1249"/>
      <c r="BO20" s="1249">
        <v>0</v>
      </c>
      <c r="BP20" s="1249"/>
      <c r="BQ20" s="1249">
        <v>0</v>
      </c>
      <c r="BR20" s="1249"/>
      <c r="BS20" s="1249">
        <v>0</v>
      </c>
      <c r="BT20" s="1249"/>
      <c r="BU20" s="1333">
        <v>0</v>
      </c>
      <c r="BV20" s="1333"/>
      <c r="BW20" s="1333">
        <v>0</v>
      </c>
      <c r="BX20" s="1333"/>
      <c r="BY20" s="1249">
        <v>0.7</v>
      </c>
      <c r="BZ20" s="1249"/>
      <c r="CA20" s="1249">
        <v>0.7</v>
      </c>
      <c r="CB20" s="1249"/>
      <c r="CC20" s="1249">
        <v>0</v>
      </c>
      <c r="CD20" s="1249">
        <v>0</v>
      </c>
      <c r="CE20" s="1249">
        <v>133.1</v>
      </c>
      <c r="CF20" s="1249"/>
      <c r="CG20" s="1333">
        <v>133.1</v>
      </c>
      <c r="CH20" s="1333"/>
      <c r="CI20" s="1333">
        <v>0</v>
      </c>
      <c r="CJ20" s="1333">
        <v>0</v>
      </c>
      <c r="CK20" s="1249">
        <v>324.5</v>
      </c>
      <c r="CL20" s="1249">
        <v>324.5</v>
      </c>
      <c r="CM20" s="1249">
        <v>0</v>
      </c>
      <c r="CN20" s="1326">
        <v>302.3</v>
      </c>
      <c r="CO20" s="1326">
        <v>13.5</v>
      </c>
      <c r="CP20" s="1326">
        <f t="shared" si="10"/>
        <v>8.6999999999999886</v>
      </c>
      <c r="CQ20" s="1347">
        <v>7264</v>
      </c>
      <c r="CR20" s="1248">
        <f>ROUND('Смарт 2015'!$K$101,2)</f>
        <v>6941.98</v>
      </c>
      <c r="CS20" s="1327">
        <f t="shared" si="11"/>
        <v>27475.5</v>
      </c>
      <c r="CT20" s="1327">
        <f t="shared" si="12"/>
        <v>26350.9</v>
      </c>
      <c r="CU20" s="1328">
        <f t="shared" si="12"/>
        <v>1124.5999999999999</v>
      </c>
      <c r="CV20" s="1328">
        <f t="shared" si="13"/>
        <v>7481.64</v>
      </c>
      <c r="CW20" s="1249">
        <v>30633.5</v>
      </c>
      <c r="CX20" s="1249">
        <v>29133.5</v>
      </c>
      <c r="CY20" s="1249">
        <v>0</v>
      </c>
      <c r="CZ20" s="1234">
        <f t="shared" si="0"/>
        <v>143109.29999999999</v>
      </c>
      <c r="DA20" s="2">
        <v>0</v>
      </c>
      <c r="DB20" s="2">
        <v>5525.4000000000005</v>
      </c>
      <c r="DC20" s="1329">
        <f t="shared" si="14"/>
        <v>6559.1</v>
      </c>
      <c r="DD20" s="1434">
        <f t="shared" si="15"/>
        <v>136550.19999999998</v>
      </c>
      <c r="DE20" s="1324">
        <f t="shared" si="16"/>
        <v>177788.4</v>
      </c>
      <c r="DF20" s="433">
        <v>0</v>
      </c>
      <c r="DG20" s="433">
        <v>0</v>
      </c>
      <c r="DH20" s="433">
        <v>0</v>
      </c>
      <c r="DI20" s="433">
        <f t="shared" si="17"/>
        <v>2983</v>
      </c>
      <c r="DJ20" s="1255">
        <v>2983</v>
      </c>
      <c r="DK20" s="1323">
        <f>ROUND((DF20*1353+'не смотреть Субвенции 2017'!DG20*723+'не смотреть Субвенции 2017'!DH20*2613*1.2+'не смотреть Субвенции 2017'!DI20*2613)/1000,1)</f>
        <v>7794.6</v>
      </c>
      <c r="DL20" s="1448">
        <f t="shared" si="18"/>
        <v>185583</v>
      </c>
      <c r="DM20" s="1440">
        <v>6296</v>
      </c>
      <c r="DN20" s="1447">
        <f t="shared" si="19"/>
        <v>3144.7</v>
      </c>
      <c r="DO20" s="1439">
        <f t="shared" si="20"/>
        <v>191879</v>
      </c>
      <c r="DP20" s="1448">
        <f t="shared" si="21"/>
        <v>188727700</v>
      </c>
      <c r="DQ20" s="1457" t="e">
        <f>#REF!</f>
        <v>#REF!</v>
      </c>
      <c r="DR20" s="1236">
        <v>178704646.95999998</v>
      </c>
      <c r="DS20" s="1451">
        <f t="shared" si="22"/>
        <v>10023053.040000021</v>
      </c>
      <c r="DT20" s="1456" t="e">
        <f t="shared" si="23"/>
        <v>#REF!</v>
      </c>
    </row>
    <row r="21" spans="1:124" s="1334" customFormat="1" ht="18.75">
      <c r="A21" s="1306" t="s">
        <v>97</v>
      </c>
      <c r="B21" s="1249">
        <v>355</v>
      </c>
      <c r="C21" s="1249">
        <v>355</v>
      </c>
      <c r="D21" s="1249">
        <v>5.5</v>
      </c>
      <c r="E21" s="1249">
        <v>5.5</v>
      </c>
      <c r="F21" s="1249">
        <v>0</v>
      </c>
      <c r="G21" s="1308">
        <v>3</v>
      </c>
      <c r="H21" s="1309"/>
      <c r="I21" s="1310">
        <f>'Смарт 2015'!$C$114+'Смарт 2015'!$C$118</f>
        <v>5.5</v>
      </c>
      <c r="J21" s="1310"/>
      <c r="K21" s="1310">
        <f t="shared" si="1"/>
        <v>1403.1</v>
      </c>
      <c r="L21" s="1310">
        <f>'Смарт 2015'!$D$114+'Смарт 2015'!$D$118</f>
        <v>1403.1</v>
      </c>
      <c r="M21" s="1310">
        <f>'Смарт 2015'!$J$114+'Смарт 2015'!$J$118</f>
        <v>0</v>
      </c>
      <c r="N21" s="1311">
        <f t="shared" si="2"/>
        <v>765.3</v>
      </c>
      <c r="O21" s="1311">
        <f t="shared" si="3"/>
        <v>765.3</v>
      </c>
      <c r="P21" s="1311"/>
      <c r="Q21" s="1249">
        <v>1415</v>
      </c>
      <c r="R21" s="1249">
        <v>1415</v>
      </c>
      <c r="S21" s="1249">
        <v>0</v>
      </c>
      <c r="T21" s="1249">
        <v>38</v>
      </c>
      <c r="U21" s="1249">
        <v>1</v>
      </c>
      <c r="V21" s="1313">
        <v>38</v>
      </c>
      <c r="W21" s="1313">
        <v>1</v>
      </c>
      <c r="X21" s="1313">
        <v>0</v>
      </c>
      <c r="Y21" s="1313"/>
      <c r="Z21" s="1313">
        <v>38</v>
      </c>
      <c r="AA21" s="1313">
        <v>1</v>
      </c>
      <c r="AB21" s="1314">
        <f t="shared" si="4"/>
        <v>0</v>
      </c>
      <c r="AC21" s="2">
        <v>38</v>
      </c>
      <c r="AD21" s="2">
        <v>1</v>
      </c>
      <c r="AE21" s="1316">
        <v>22688.3</v>
      </c>
      <c r="AF21" s="1317">
        <f t="shared" si="5"/>
        <v>10573.9</v>
      </c>
      <c r="AG21" s="1318">
        <f t="shared" si="6"/>
        <v>10345.9</v>
      </c>
      <c r="AH21" s="1318">
        <f t="shared" si="7"/>
        <v>228</v>
      </c>
      <c r="AI21" s="1318">
        <f t="shared" si="24"/>
        <v>228</v>
      </c>
      <c r="AJ21" s="1249">
        <v>9701.0999999999985</v>
      </c>
      <c r="AK21" s="1249">
        <v>228</v>
      </c>
      <c r="AL21" s="1249">
        <v>9701.0999999999985</v>
      </c>
      <c r="AM21" s="1249">
        <v>228</v>
      </c>
      <c r="AN21" s="1249">
        <v>0</v>
      </c>
      <c r="AO21" s="1249"/>
      <c r="AP21" s="1313">
        <v>0</v>
      </c>
      <c r="AQ21" s="1313"/>
      <c r="AR21" s="1313">
        <v>0</v>
      </c>
      <c r="AS21" s="1313"/>
      <c r="AT21" s="1313">
        <v>0</v>
      </c>
      <c r="AU21" s="1313"/>
      <c r="AV21" s="1312">
        <v>0</v>
      </c>
      <c r="AW21" s="1312">
        <v>0</v>
      </c>
      <c r="AX21" s="1348"/>
      <c r="AY21" s="1337"/>
      <c r="AZ21" s="1320">
        <v>19783.5</v>
      </c>
      <c r="BA21" s="1321">
        <v>0</v>
      </c>
      <c r="BB21" s="1322">
        <f t="shared" si="8"/>
        <v>0</v>
      </c>
      <c r="BC21" s="1323">
        <f t="shared" si="9"/>
        <v>0</v>
      </c>
      <c r="BD21" s="1323">
        <f t="shared" si="25"/>
        <v>0</v>
      </c>
      <c r="BE21" s="1323"/>
      <c r="BF21" s="1323"/>
      <c r="BG21" s="1249">
        <v>0</v>
      </c>
      <c r="BH21" s="1249"/>
      <c r="BI21" s="1249">
        <v>0</v>
      </c>
      <c r="BJ21" s="1249"/>
      <c r="BK21" s="1249">
        <v>0</v>
      </c>
      <c r="BL21" s="1249"/>
      <c r="BM21" s="1249">
        <v>0</v>
      </c>
      <c r="BN21" s="1249"/>
      <c r="BO21" s="1249">
        <v>0</v>
      </c>
      <c r="BP21" s="1249"/>
      <c r="BQ21" s="1249">
        <v>0</v>
      </c>
      <c r="BR21" s="1249"/>
      <c r="BS21" s="1249">
        <v>0</v>
      </c>
      <c r="BT21" s="1249"/>
      <c r="BU21" s="1333">
        <v>0</v>
      </c>
      <c r="BV21" s="1333"/>
      <c r="BW21" s="1333">
        <v>0</v>
      </c>
      <c r="BX21" s="1333"/>
      <c r="BY21" s="1249">
        <v>0.5</v>
      </c>
      <c r="BZ21" s="1249"/>
      <c r="CA21" s="1249"/>
      <c r="CB21" s="1249"/>
      <c r="CC21" s="1249">
        <v>0</v>
      </c>
      <c r="CD21" s="1249">
        <v>0</v>
      </c>
      <c r="CE21" s="1249">
        <v>51.6</v>
      </c>
      <c r="CF21" s="1249"/>
      <c r="CG21" s="1333"/>
      <c r="CH21" s="1333"/>
      <c r="CI21" s="1333">
        <v>0</v>
      </c>
      <c r="CJ21" s="1333">
        <v>0</v>
      </c>
      <c r="CK21" s="1249">
        <v>41.5</v>
      </c>
      <c r="CL21" s="1249">
        <v>41.5</v>
      </c>
      <c r="CM21" s="1249">
        <v>0</v>
      </c>
      <c r="CN21" s="1326">
        <v>40</v>
      </c>
      <c r="CO21" s="1326">
        <v>2</v>
      </c>
      <c r="CP21" s="1326">
        <f t="shared" si="10"/>
        <v>-0.5</v>
      </c>
      <c r="CQ21" s="1347">
        <v>8530.2999999999993</v>
      </c>
      <c r="CR21" s="1248">
        <f>ROUND('Смарт 2015'!$K$117,2)</f>
        <v>7416.67</v>
      </c>
      <c r="CS21" s="1327">
        <f t="shared" si="11"/>
        <v>4272.5</v>
      </c>
      <c r="CT21" s="1327">
        <f t="shared" si="12"/>
        <v>4094.5</v>
      </c>
      <c r="CU21" s="1328">
        <f t="shared" si="12"/>
        <v>178</v>
      </c>
      <c r="CV21" s="1328">
        <f t="shared" si="13"/>
        <v>8898.7999999999993</v>
      </c>
      <c r="CW21" s="1249">
        <v>4431.6000000000004</v>
      </c>
      <c r="CX21" s="1249">
        <v>4431.6000000000004</v>
      </c>
      <c r="CY21" s="1249">
        <v>0</v>
      </c>
      <c r="CZ21" s="1234">
        <f t="shared" si="0"/>
        <v>15611.699999999999</v>
      </c>
      <c r="DA21" s="2">
        <v>0</v>
      </c>
      <c r="DB21" s="2">
        <v>644.6</v>
      </c>
      <c r="DC21" s="1329">
        <f t="shared" si="14"/>
        <v>765.2</v>
      </c>
      <c r="DD21" s="1434">
        <f t="shared" si="15"/>
        <v>14846.499999999998</v>
      </c>
      <c r="DE21" s="1324">
        <f t="shared" si="16"/>
        <v>19330.099999999999</v>
      </c>
      <c r="DF21" s="433">
        <v>0</v>
      </c>
      <c r="DG21" s="433">
        <v>0</v>
      </c>
      <c r="DH21" s="433">
        <v>3</v>
      </c>
      <c r="DI21" s="433">
        <f t="shared" si="17"/>
        <v>352</v>
      </c>
      <c r="DJ21" s="1255">
        <v>355</v>
      </c>
      <c r="DK21" s="1323">
        <f>ROUND((DF21*1353+'не смотреть Субвенции 2017'!DG21*723+'не смотреть Субвенции 2017'!DH21*2613*1.2+'не смотреть Субвенции 2017'!DI21*2613)/1000,1)</f>
        <v>929.2</v>
      </c>
      <c r="DL21" s="1448">
        <f t="shared" si="18"/>
        <v>20259.3</v>
      </c>
      <c r="DM21" s="1440">
        <v>708</v>
      </c>
      <c r="DN21" s="1447">
        <f t="shared" si="19"/>
        <v>489</v>
      </c>
      <c r="DO21" s="1439">
        <f t="shared" si="20"/>
        <v>20967.3</v>
      </c>
      <c r="DP21" s="1448">
        <f t="shared" si="21"/>
        <v>20748300</v>
      </c>
      <c r="DQ21" s="761" t="e">
        <f>#REF!</f>
        <v>#REF!</v>
      </c>
      <c r="DR21" s="1236">
        <v>21306127.049999997</v>
      </c>
      <c r="DS21" s="1254">
        <f t="shared" si="22"/>
        <v>-557827.04999999702</v>
      </c>
      <c r="DT21" s="1450" t="e">
        <f t="shared" si="23"/>
        <v>#REF!</v>
      </c>
    </row>
    <row r="22" spans="1:124" s="1334" customFormat="1" ht="18.75">
      <c r="A22" s="1452" t="s">
        <v>98</v>
      </c>
      <c r="B22" s="1249">
        <v>2977</v>
      </c>
      <c r="C22" s="1249">
        <v>3083</v>
      </c>
      <c r="D22" s="1249">
        <v>42.8</v>
      </c>
      <c r="E22" s="1249">
        <v>40.799999999999997</v>
      </c>
      <c r="F22" s="1249">
        <v>0</v>
      </c>
      <c r="G22" s="1308">
        <v>41.1</v>
      </c>
      <c r="H22" s="1309">
        <v>0</v>
      </c>
      <c r="I22" s="1310">
        <f>'Смарт 2015'!$C$121+'Смарт 2015'!$C$127</f>
        <v>42.6</v>
      </c>
      <c r="J22" s="1310">
        <v>0.2</v>
      </c>
      <c r="K22" s="1310">
        <f t="shared" si="1"/>
        <v>18672.100000000002</v>
      </c>
      <c r="L22" s="1310">
        <f>'Смарт 2015'!$D$121+'Смарт 2015'!$D$127</f>
        <v>18607.300000000003</v>
      </c>
      <c r="M22" s="1310">
        <f>'Смарт 2015'!$J$121+'Смарт 2015'!$J$127</f>
        <v>64.8</v>
      </c>
      <c r="N22" s="1311">
        <f t="shared" si="2"/>
        <v>17952.099999999999</v>
      </c>
      <c r="O22" s="1311">
        <f t="shared" si="3"/>
        <v>17952.099999999999</v>
      </c>
      <c r="P22" s="1311">
        <f>ROUND(M22/J22*H22,1)</f>
        <v>0</v>
      </c>
      <c r="Q22" s="1249">
        <v>18462.2</v>
      </c>
      <c r="R22" s="1249">
        <v>17476</v>
      </c>
      <c r="S22" s="1249">
        <v>0</v>
      </c>
      <c r="T22" s="1249">
        <v>243.7</v>
      </c>
      <c r="U22" s="1249">
        <v>7.6999999999999993</v>
      </c>
      <c r="V22" s="1313">
        <v>244.4</v>
      </c>
      <c r="W22" s="1313">
        <v>7.7</v>
      </c>
      <c r="X22" s="1313">
        <v>0</v>
      </c>
      <c r="Y22" s="1313">
        <v>0</v>
      </c>
      <c r="Z22" s="1313">
        <v>244.4</v>
      </c>
      <c r="AA22" s="1313">
        <v>7.7</v>
      </c>
      <c r="AB22" s="1314">
        <f t="shared" si="4"/>
        <v>3.0999999999999943</v>
      </c>
      <c r="AC22" s="2">
        <v>247.5</v>
      </c>
      <c r="AD22" s="2">
        <v>8.6</v>
      </c>
      <c r="AE22" s="1316">
        <v>23398.3</v>
      </c>
      <c r="AF22" s="1317">
        <f t="shared" si="5"/>
        <v>70632.600000000006</v>
      </c>
      <c r="AG22" s="1318">
        <f t="shared" si="6"/>
        <v>69493</v>
      </c>
      <c r="AH22" s="1318">
        <f t="shared" si="7"/>
        <v>1020.3</v>
      </c>
      <c r="AI22" s="1318">
        <f t="shared" si="24"/>
        <v>1139.5999999999999</v>
      </c>
      <c r="AJ22" s="1249">
        <v>67210.8</v>
      </c>
      <c r="AK22" s="1249">
        <v>1020.3</v>
      </c>
      <c r="AL22" s="1249">
        <v>67498.8</v>
      </c>
      <c r="AM22" s="1249">
        <v>1020.3</v>
      </c>
      <c r="AN22" s="1249">
        <v>0</v>
      </c>
      <c r="AO22" s="1249">
        <v>0</v>
      </c>
      <c r="AP22" s="1313">
        <v>5.7</v>
      </c>
      <c r="AQ22" s="1313">
        <v>0</v>
      </c>
      <c r="AR22" s="1313">
        <v>17.7</v>
      </c>
      <c r="AS22" s="1313">
        <v>0.3</v>
      </c>
      <c r="AT22" s="1313">
        <v>0</v>
      </c>
      <c r="AU22" s="1313">
        <v>0</v>
      </c>
      <c r="AV22" s="1312">
        <v>17.7</v>
      </c>
      <c r="AW22" s="1312">
        <v>0.3</v>
      </c>
      <c r="AX22" s="1332">
        <v>17.600000000000001</v>
      </c>
      <c r="AY22" s="1332">
        <v>0.3</v>
      </c>
      <c r="AZ22" s="1320">
        <v>21245.4</v>
      </c>
      <c r="BA22" s="1321">
        <v>18299.7</v>
      </c>
      <c r="BB22" s="1322">
        <f t="shared" si="8"/>
        <v>4522.3</v>
      </c>
      <c r="BC22" s="1323">
        <f t="shared" si="9"/>
        <v>4487</v>
      </c>
      <c r="BD22" s="1323">
        <f t="shared" si="25"/>
        <v>35.299999999999997</v>
      </c>
      <c r="BE22" s="1323"/>
      <c r="BF22" s="1323">
        <f>ROUND((BJ22+BL22)/AW22*AY22,1)</f>
        <v>35.299999999999997</v>
      </c>
      <c r="BG22" s="1249">
        <v>1187.0999999999999</v>
      </c>
      <c r="BH22" s="1249">
        <v>0</v>
      </c>
      <c r="BI22" s="1249">
        <v>3974.5</v>
      </c>
      <c r="BJ22" s="1249">
        <v>35.299999999999997</v>
      </c>
      <c r="BK22" s="1249">
        <v>0</v>
      </c>
      <c r="BL22" s="1249">
        <v>0</v>
      </c>
      <c r="BM22" s="1249">
        <v>0</v>
      </c>
      <c r="BN22" s="1249">
        <v>0</v>
      </c>
      <c r="BO22" s="1249">
        <v>0</v>
      </c>
      <c r="BP22" s="1249">
        <v>0</v>
      </c>
      <c r="BQ22" s="1249">
        <v>0</v>
      </c>
      <c r="BR22" s="1249">
        <v>0</v>
      </c>
      <c r="BS22" s="1249">
        <v>0</v>
      </c>
      <c r="BT22" s="1249">
        <v>0</v>
      </c>
      <c r="BU22" s="1333">
        <v>0</v>
      </c>
      <c r="BV22" s="1333">
        <v>0</v>
      </c>
      <c r="BW22" s="1333">
        <v>0</v>
      </c>
      <c r="BX22" s="1333">
        <v>0</v>
      </c>
      <c r="BY22" s="1249">
        <v>0</v>
      </c>
      <c r="BZ22" s="1249">
        <v>0</v>
      </c>
      <c r="CA22" s="1249">
        <v>0</v>
      </c>
      <c r="CB22" s="1249">
        <v>0</v>
      </c>
      <c r="CC22" s="1249">
        <v>0</v>
      </c>
      <c r="CD22" s="1249">
        <v>0</v>
      </c>
      <c r="CE22" s="1249">
        <v>0</v>
      </c>
      <c r="CF22" s="1249">
        <v>0</v>
      </c>
      <c r="CG22" s="1333">
        <v>0</v>
      </c>
      <c r="CH22" s="1333">
        <v>0</v>
      </c>
      <c r="CI22" s="1333">
        <v>0</v>
      </c>
      <c r="CJ22" s="1333">
        <v>0</v>
      </c>
      <c r="CK22" s="1249">
        <v>185.8</v>
      </c>
      <c r="CL22" s="1249">
        <v>211.8</v>
      </c>
      <c r="CM22" s="1249">
        <v>0</v>
      </c>
      <c r="CN22" s="1325">
        <v>191.3</v>
      </c>
      <c r="CO22" s="1325">
        <v>26.4</v>
      </c>
      <c r="CP22" s="1326">
        <f t="shared" si="10"/>
        <v>-5.8999999999999986</v>
      </c>
      <c r="CQ22" s="1349">
        <v>11537.6</v>
      </c>
      <c r="CR22" s="1248">
        <f>ROUND('Смарт 2015'!$K$125,2)</f>
        <v>8373.5</v>
      </c>
      <c r="CS22" s="1327">
        <f t="shared" si="11"/>
        <v>29138.400000000001</v>
      </c>
      <c r="CT22" s="1327">
        <f t="shared" si="12"/>
        <v>26485.7</v>
      </c>
      <c r="CU22" s="1328">
        <f t="shared" si="12"/>
        <v>2652.7</v>
      </c>
      <c r="CV22" s="1328">
        <f t="shared" si="13"/>
        <v>10996.81</v>
      </c>
      <c r="CW22" s="1249">
        <v>25211.599999999999</v>
      </c>
      <c r="CX22" s="1249">
        <v>27949.5</v>
      </c>
      <c r="CY22" s="1249">
        <v>0</v>
      </c>
      <c r="CZ22" s="1234">
        <f t="shared" si="0"/>
        <v>122245.4</v>
      </c>
      <c r="DA22" s="2">
        <v>0</v>
      </c>
      <c r="DB22" s="2">
        <v>1990</v>
      </c>
      <c r="DC22" s="1329">
        <f t="shared" si="14"/>
        <v>2362.3000000000002</v>
      </c>
      <c r="DD22" s="1434">
        <f t="shared" si="15"/>
        <v>119883.09999999999</v>
      </c>
      <c r="DE22" s="1324">
        <f t="shared" si="16"/>
        <v>156087.79999999999</v>
      </c>
      <c r="DF22" s="433">
        <v>64</v>
      </c>
      <c r="DG22" s="433">
        <v>0</v>
      </c>
      <c r="DH22" s="433">
        <v>43</v>
      </c>
      <c r="DI22" s="433">
        <f t="shared" si="17"/>
        <v>2976</v>
      </c>
      <c r="DJ22" s="1257">
        <v>3083</v>
      </c>
      <c r="DK22" s="1323">
        <f>ROUND((DF22*1353+'не смотреть Субвенции 2017'!DG22*723+'не смотреть Субвенции 2017'!DH22*2613*1.2+'не смотреть Субвенции 2017'!DI22*2613)/1000,1)</f>
        <v>7997.7</v>
      </c>
      <c r="DL22" s="1448">
        <f t="shared" si="18"/>
        <v>164085.5</v>
      </c>
      <c r="DM22" s="1440">
        <v>1072</v>
      </c>
      <c r="DN22" s="1447">
        <f t="shared" si="19"/>
        <v>3335</v>
      </c>
      <c r="DO22" s="1439">
        <f t="shared" si="20"/>
        <v>165157.5</v>
      </c>
      <c r="DP22" s="1448">
        <f t="shared" si="21"/>
        <v>167420500</v>
      </c>
      <c r="DQ22" s="1457" t="e">
        <f>#REF!</f>
        <v>#REF!</v>
      </c>
      <c r="DR22" s="1236">
        <v>157171797.88</v>
      </c>
      <c r="DS22" s="1451">
        <f t="shared" si="22"/>
        <v>10248702.120000005</v>
      </c>
      <c r="DT22" s="1456" t="e">
        <f t="shared" si="23"/>
        <v>#REF!</v>
      </c>
    </row>
    <row r="23" spans="1:124" s="1334" customFormat="1" ht="18.75">
      <c r="A23" s="1306" t="s">
        <v>99</v>
      </c>
      <c r="B23" s="1249">
        <v>652</v>
      </c>
      <c r="C23" s="1249">
        <v>652</v>
      </c>
      <c r="D23" s="1249">
        <v>12</v>
      </c>
      <c r="E23" s="1249">
        <v>12</v>
      </c>
      <c r="F23" s="1249">
        <v>0</v>
      </c>
      <c r="G23" s="1308">
        <v>12</v>
      </c>
      <c r="H23" s="1309"/>
      <c r="I23" s="1310">
        <f>'Смарт 2015'!$C$129+'Смарт 2015'!$C$135</f>
        <v>8.3000000000000007</v>
      </c>
      <c r="J23" s="1310"/>
      <c r="K23" s="1310">
        <f t="shared" si="1"/>
        <v>5339</v>
      </c>
      <c r="L23" s="1310">
        <f>'Смарт 2015'!$D$129+'Смарт 2015'!$D$134</f>
        <v>5339</v>
      </c>
      <c r="M23" s="1310">
        <f>'Смарт 2015'!$J$129+'Смарт 2015'!$J$134</f>
        <v>0</v>
      </c>
      <c r="N23" s="1311">
        <f t="shared" si="2"/>
        <v>7719</v>
      </c>
      <c r="O23" s="1311">
        <f t="shared" si="3"/>
        <v>7719</v>
      </c>
      <c r="P23" s="1311"/>
      <c r="Q23" s="1249">
        <v>5016.6000000000004</v>
      </c>
      <c r="R23" s="1249">
        <v>5016.6000000000004</v>
      </c>
      <c r="S23" s="1249">
        <v>0</v>
      </c>
      <c r="T23" s="1249">
        <v>87</v>
      </c>
      <c r="U23" s="1249">
        <v>2.5</v>
      </c>
      <c r="V23" s="1313">
        <v>87</v>
      </c>
      <c r="W23" s="1313">
        <v>2.5</v>
      </c>
      <c r="X23" s="1313">
        <v>0</v>
      </c>
      <c r="Y23" s="1313">
        <v>0</v>
      </c>
      <c r="Z23" s="1313">
        <v>87</v>
      </c>
      <c r="AA23" s="1313">
        <v>2.5</v>
      </c>
      <c r="AB23" s="1350">
        <f t="shared" si="4"/>
        <v>6</v>
      </c>
      <c r="AC23" s="2">
        <v>93</v>
      </c>
      <c r="AD23" s="2"/>
      <c r="AE23" s="1316">
        <v>24012</v>
      </c>
      <c r="AF23" s="1317">
        <f t="shared" si="5"/>
        <v>26797.4</v>
      </c>
      <c r="AG23" s="1318">
        <f t="shared" si="6"/>
        <v>26797.4</v>
      </c>
      <c r="AH23" s="1318">
        <f t="shared" si="7"/>
        <v>377</v>
      </c>
      <c r="AI23" s="1318">
        <f t="shared" si="24"/>
        <v>0</v>
      </c>
      <c r="AJ23" s="1249">
        <v>24376</v>
      </c>
      <c r="AK23" s="1249">
        <v>377</v>
      </c>
      <c r="AL23" s="1249">
        <v>24376</v>
      </c>
      <c r="AM23" s="1249">
        <v>377</v>
      </c>
      <c r="AN23" s="1249">
        <v>0</v>
      </c>
      <c r="AO23" s="1249">
        <v>0</v>
      </c>
      <c r="AP23" s="1313">
        <v>3</v>
      </c>
      <c r="AQ23" s="1313">
        <v>0</v>
      </c>
      <c r="AR23" s="1313">
        <v>3</v>
      </c>
      <c r="AS23" s="1313">
        <v>0</v>
      </c>
      <c r="AT23" s="1313">
        <v>0</v>
      </c>
      <c r="AU23" s="1313">
        <v>0</v>
      </c>
      <c r="AV23" s="1312">
        <v>3</v>
      </c>
      <c r="AW23" s="1312">
        <v>0</v>
      </c>
      <c r="AX23" s="1351">
        <v>4</v>
      </c>
      <c r="AY23" s="1352"/>
      <c r="AZ23" s="1320">
        <v>19386.099999999999</v>
      </c>
      <c r="BA23" s="1321">
        <v>16555.599999999999</v>
      </c>
      <c r="BB23" s="1322">
        <f t="shared" si="8"/>
        <v>930.5</v>
      </c>
      <c r="BC23" s="1323">
        <f t="shared" si="9"/>
        <v>930.5</v>
      </c>
      <c r="BD23" s="1323">
        <f t="shared" si="25"/>
        <v>0</v>
      </c>
      <c r="BE23" s="1323"/>
      <c r="BF23" s="1323"/>
      <c r="BG23" s="1249">
        <v>756</v>
      </c>
      <c r="BH23" s="1249">
        <v>0</v>
      </c>
      <c r="BI23" s="1249">
        <v>756</v>
      </c>
      <c r="BJ23" s="1249">
        <v>0</v>
      </c>
      <c r="BK23" s="1249">
        <v>0</v>
      </c>
      <c r="BL23" s="1249">
        <v>0</v>
      </c>
      <c r="BM23" s="1249">
        <v>0</v>
      </c>
      <c r="BN23" s="1249">
        <v>0</v>
      </c>
      <c r="BO23" s="1249">
        <v>0</v>
      </c>
      <c r="BP23" s="1249">
        <v>0</v>
      </c>
      <c r="BQ23" s="1249">
        <v>0</v>
      </c>
      <c r="BR23" s="1249">
        <v>0</v>
      </c>
      <c r="BS23" s="1249">
        <v>0</v>
      </c>
      <c r="BT23" s="1249">
        <v>0</v>
      </c>
      <c r="BU23" s="1333">
        <v>0</v>
      </c>
      <c r="BV23" s="1333">
        <v>0</v>
      </c>
      <c r="BW23" s="1333">
        <v>0</v>
      </c>
      <c r="BX23" s="1333">
        <v>0</v>
      </c>
      <c r="BY23" s="1249">
        <v>1</v>
      </c>
      <c r="BZ23" s="1249">
        <v>0</v>
      </c>
      <c r="CA23" s="1249">
        <v>0.5</v>
      </c>
      <c r="CB23" s="1249">
        <v>0</v>
      </c>
      <c r="CC23" s="1249">
        <v>0</v>
      </c>
      <c r="CD23" s="1249">
        <v>0</v>
      </c>
      <c r="CE23" s="1249">
        <v>203.7</v>
      </c>
      <c r="CF23" s="1249">
        <v>0</v>
      </c>
      <c r="CG23" s="1333">
        <v>110.1</v>
      </c>
      <c r="CH23" s="1333">
        <v>0</v>
      </c>
      <c r="CI23" s="1333">
        <v>0</v>
      </c>
      <c r="CJ23" s="1333">
        <v>0</v>
      </c>
      <c r="CK23" s="1249">
        <v>79.3</v>
      </c>
      <c r="CL23" s="1249">
        <v>79.3</v>
      </c>
      <c r="CM23" s="1249">
        <v>0</v>
      </c>
      <c r="CN23" s="1326">
        <v>82</v>
      </c>
      <c r="CO23" s="1326"/>
      <c r="CP23" s="1326">
        <f t="shared" si="10"/>
        <v>-2.7000000000000028</v>
      </c>
      <c r="CQ23" s="1347">
        <v>9833.2999999999993</v>
      </c>
      <c r="CR23" s="1248"/>
      <c r="CS23" s="1327">
        <f t="shared" si="11"/>
        <v>9676</v>
      </c>
      <c r="CT23" s="1327">
        <f t="shared" si="12"/>
        <v>9676</v>
      </c>
      <c r="CU23" s="1328">
        <f t="shared" si="12"/>
        <v>0</v>
      </c>
      <c r="CV23" s="1328">
        <f t="shared" si="13"/>
        <v>9851.6200000000008</v>
      </c>
      <c r="CW23" s="1249">
        <v>9374.7999999999993</v>
      </c>
      <c r="CX23" s="1249">
        <v>9374.7999999999993</v>
      </c>
      <c r="CY23" s="1249">
        <v>0</v>
      </c>
      <c r="CZ23" s="1234">
        <f t="shared" si="0"/>
        <v>45233</v>
      </c>
      <c r="DA23" s="2">
        <v>0</v>
      </c>
      <c r="DB23" s="2">
        <v>1916.2</v>
      </c>
      <c r="DC23" s="1329">
        <f t="shared" si="14"/>
        <v>2274.6999999999998</v>
      </c>
      <c r="DD23" s="1434">
        <f t="shared" si="15"/>
        <v>42958.3</v>
      </c>
      <c r="DE23" s="1324">
        <f t="shared" si="16"/>
        <v>55931.7</v>
      </c>
      <c r="DF23" s="433">
        <v>0</v>
      </c>
      <c r="DG23" s="433">
        <v>0</v>
      </c>
      <c r="DH23" s="433">
        <v>1</v>
      </c>
      <c r="DI23" s="433">
        <f t="shared" si="17"/>
        <v>651</v>
      </c>
      <c r="DJ23" s="1255">
        <v>652</v>
      </c>
      <c r="DK23" s="1323">
        <f>ROUND((DF23*1353+'не смотреть Субвенции 2017'!DG23*723+'не смотреть Субвенции 2017'!DH23*2613*1.2+'не смотреть Субвенции 2017'!DI23*2613)/1000,1)</f>
        <v>1704.2</v>
      </c>
      <c r="DL23" s="1448">
        <f t="shared" si="18"/>
        <v>57635.899999999994</v>
      </c>
      <c r="DM23" s="1440">
        <v>2516.7999999999993</v>
      </c>
      <c r="DN23" s="1447">
        <f t="shared" si="19"/>
        <v>1107.5</v>
      </c>
      <c r="DO23" s="1439">
        <f t="shared" si="20"/>
        <v>60152.7</v>
      </c>
      <c r="DP23" s="1448">
        <f t="shared" si="21"/>
        <v>58743400</v>
      </c>
      <c r="DQ23" s="761" t="e">
        <f>#REF!</f>
        <v>#REF!</v>
      </c>
      <c r="DR23" s="1236">
        <v>53998688.449999996</v>
      </c>
      <c r="DS23" s="1254">
        <f t="shared" si="22"/>
        <v>4744711.5500000045</v>
      </c>
      <c r="DT23" s="1450" t="e">
        <f t="shared" si="23"/>
        <v>#REF!</v>
      </c>
    </row>
    <row r="24" spans="1:124" s="1334" customFormat="1" ht="18.75">
      <c r="A24" s="1306" t="s">
        <v>100</v>
      </c>
      <c r="B24" s="1249">
        <v>3312</v>
      </c>
      <c r="C24" s="1249">
        <v>3312</v>
      </c>
      <c r="D24" s="1249">
        <v>55.3</v>
      </c>
      <c r="E24" s="1249">
        <v>55.3</v>
      </c>
      <c r="F24" s="1249">
        <v>0</v>
      </c>
      <c r="G24" s="1308">
        <v>54.3</v>
      </c>
      <c r="H24" s="1309">
        <v>1</v>
      </c>
      <c r="I24" s="1310">
        <f>'Смарт 2015'!$C$137+'Смарт 2015'!$C$142</f>
        <v>56.8</v>
      </c>
      <c r="J24" s="1310">
        <v>0.4</v>
      </c>
      <c r="K24" s="1310">
        <f t="shared" si="1"/>
        <v>26456.7</v>
      </c>
      <c r="L24" s="1310">
        <f>'Смарт 2015'!$D$137+'Смарт 2015'!$D$142</f>
        <v>26316.9</v>
      </c>
      <c r="M24" s="1310">
        <f>'Смарт 2015'!$J$137+'Смарт 2015'!$J$142</f>
        <v>139.80000000000001</v>
      </c>
      <c r="N24" s="1311">
        <f t="shared" si="2"/>
        <v>25508.1</v>
      </c>
      <c r="O24" s="1311">
        <f t="shared" si="3"/>
        <v>25158.6</v>
      </c>
      <c r="P24" s="1311">
        <f>ROUND(M24/J24*H24,1)</f>
        <v>349.5</v>
      </c>
      <c r="Q24" s="1249">
        <v>25820</v>
      </c>
      <c r="R24" s="1249">
        <v>25820</v>
      </c>
      <c r="S24" s="1249">
        <v>0</v>
      </c>
      <c r="T24" s="1249">
        <v>239.1</v>
      </c>
      <c r="U24" s="1249">
        <v>6.1999999999999993</v>
      </c>
      <c r="V24" s="1313">
        <v>239.1</v>
      </c>
      <c r="W24" s="1313">
        <v>6.1999999999999993</v>
      </c>
      <c r="X24" s="1313">
        <v>0</v>
      </c>
      <c r="Y24" s="1313">
        <v>0</v>
      </c>
      <c r="Z24" s="1313">
        <v>239.1</v>
      </c>
      <c r="AA24" s="1313">
        <v>6.1999999999999993</v>
      </c>
      <c r="AB24" s="1314">
        <f t="shared" si="4"/>
        <v>0.90000000000000568</v>
      </c>
      <c r="AC24" s="1353">
        <v>240</v>
      </c>
      <c r="AD24" s="1353">
        <v>6</v>
      </c>
      <c r="AE24" s="1316">
        <v>22093.1</v>
      </c>
      <c r="AF24" s="1317">
        <f t="shared" si="5"/>
        <v>64341.799999999996</v>
      </c>
      <c r="AG24" s="1318">
        <f t="shared" si="6"/>
        <v>63628.1</v>
      </c>
      <c r="AH24" s="1318">
        <f t="shared" si="7"/>
        <v>737.5</v>
      </c>
      <c r="AI24" s="1318">
        <f t="shared" si="24"/>
        <v>713.7</v>
      </c>
      <c r="AJ24" s="1249">
        <v>63259.899999999994</v>
      </c>
      <c r="AK24" s="1249">
        <v>737.5</v>
      </c>
      <c r="AL24" s="1249">
        <v>63259.899999999994</v>
      </c>
      <c r="AM24" s="1249">
        <v>737.5</v>
      </c>
      <c r="AN24" s="1249">
        <v>0</v>
      </c>
      <c r="AO24" s="1249">
        <v>0</v>
      </c>
      <c r="AP24" s="1313">
        <v>10.5</v>
      </c>
      <c r="AQ24" s="1313">
        <v>0</v>
      </c>
      <c r="AR24" s="1313">
        <v>10.5</v>
      </c>
      <c r="AS24" s="1313">
        <v>0</v>
      </c>
      <c r="AT24" s="1313">
        <v>0</v>
      </c>
      <c r="AU24" s="1313">
        <v>0</v>
      </c>
      <c r="AV24" s="1312">
        <v>10.5</v>
      </c>
      <c r="AW24" s="1312">
        <v>0</v>
      </c>
      <c r="AX24" s="1354">
        <v>10.6</v>
      </c>
      <c r="AY24" s="1354">
        <v>0</v>
      </c>
      <c r="AZ24" s="1320">
        <v>18799.3</v>
      </c>
      <c r="BA24" s="1321">
        <v>16227.2</v>
      </c>
      <c r="BB24" s="1322">
        <f t="shared" si="8"/>
        <v>2391.3000000000002</v>
      </c>
      <c r="BC24" s="1323">
        <f t="shared" si="9"/>
        <v>2391.3000000000002</v>
      </c>
      <c r="BD24" s="1323">
        <f t="shared" si="25"/>
        <v>0</v>
      </c>
      <c r="BE24" s="1323"/>
      <c r="BF24" s="1323"/>
      <c r="BG24" s="1249">
        <v>2090.1999999999998</v>
      </c>
      <c r="BH24" s="1249">
        <v>0</v>
      </c>
      <c r="BI24" s="1249">
        <v>2090.1999999999998</v>
      </c>
      <c r="BJ24" s="1249">
        <v>0</v>
      </c>
      <c r="BK24" s="1249">
        <v>0</v>
      </c>
      <c r="BL24" s="1249">
        <v>0</v>
      </c>
      <c r="BM24" s="1249">
        <v>0</v>
      </c>
      <c r="BN24" s="1249">
        <v>0</v>
      </c>
      <c r="BO24" s="1249">
        <v>0</v>
      </c>
      <c r="BP24" s="1249">
        <v>0</v>
      </c>
      <c r="BQ24" s="1249">
        <v>0</v>
      </c>
      <c r="BR24" s="1249">
        <v>0</v>
      </c>
      <c r="BS24" s="1249">
        <v>0</v>
      </c>
      <c r="BT24" s="1249">
        <v>0</v>
      </c>
      <c r="BU24" s="1333">
        <v>0</v>
      </c>
      <c r="BV24" s="1333">
        <v>0</v>
      </c>
      <c r="BW24" s="1333">
        <v>0</v>
      </c>
      <c r="BX24" s="1333">
        <v>0</v>
      </c>
      <c r="BY24" s="1249">
        <v>0</v>
      </c>
      <c r="BZ24" s="1249">
        <v>0</v>
      </c>
      <c r="CA24" s="1249">
        <v>0</v>
      </c>
      <c r="CB24" s="1249">
        <v>0</v>
      </c>
      <c r="CC24" s="1249">
        <v>0</v>
      </c>
      <c r="CD24" s="1249">
        <v>0</v>
      </c>
      <c r="CE24" s="1249">
        <v>0</v>
      </c>
      <c r="CF24" s="1249">
        <v>0</v>
      </c>
      <c r="CG24" s="1333">
        <v>0</v>
      </c>
      <c r="CH24" s="1333">
        <v>0</v>
      </c>
      <c r="CI24" s="1333">
        <v>0</v>
      </c>
      <c r="CJ24" s="1333">
        <v>0</v>
      </c>
      <c r="CK24" s="1249">
        <v>205.1</v>
      </c>
      <c r="CL24" s="1249">
        <v>205.1</v>
      </c>
      <c r="CM24" s="1249">
        <v>0</v>
      </c>
      <c r="CN24" s="1326">
        <v>183</v>
      </c>
      <c r="CO24" s="1326">
        <v>13</v>
      </c>
      <c r="CP24" s="1326">
        <f t="shared" si="10"/>
        <v>9.0999999999999943</v>
      </c>
      <c r="CQ24" s="1347">
        <v>9884.6</v>
      </c>
      <c r="CR24" s="1248">
        <f>ROUND('Смарт 2015'!$K$141,2)</f>
        <v>8795.61</v>
      </c>
      <c r="CS24" s="1327">
        <f t="shared" si="11"/>
        <v>23078.699999999997</v>
      </c>
      <c r="CT24" s="1327">
        <f t="shared" si="12"/>
        <v>21706.6</v>
      </c>
      <c r="CU24" s="1328">
        <f t="shared" si="12"/>
        <v>1372.1</v>
      </c>
      <c r="CV24" s="1328">
        <f t="shared" si="13"/>
        <v>9764.7900000000009</v>
      </c>
      <c r="CW24" s="1249">
        <v>24033.1</v>
      </c>
      <c r="CX24" s="1249">
        <v>24033.1</v>
      </c>
      <c r="CY24" s="1249">
        <v>0</v>
      </c>
      <c r="CZ24" s="1234">
        <f t="shared" si="0"/>
        <v>115319.9</v>
      </c>
      <c r="DA24" s="2">
        <v>0</v>
      </c>
      <c r="DB24" s="2">
        <v>2492.7000000000003</v>
      </c>
      <c r="DC24" s="1329">
        <f t="shared" si="14"/>
        <v>2959</v>
      </c>
      <c r="DD24" s="1434">
        <f t="shared" si="15"/>
        <v>112360.9</v>
      </c>
      <c r="DE24" s="1324">
        <f t="shared" si="16"/>
        <v>146293.9</v>
      </c>
      <c r="DF24" s="433">
        <v>60</v>
      </c>
      <c r="DG24" s="433">
        <v>0</v>
      </c>
      <c r="DH24" s="433">
        <v>0</v>
      </c>
      <c r="DI24" s="433">
        <f t="shared" si="17"/>
        <v>3252</v>
      </c>
      <c r="DJ24" s="1255">
        <v>3312</v>
      </c>
      <c r="DK24" s="1323">
        <f>ROUND((DF24*1353+'не смотреть Субвенции 2017'!DG24*723+'не смотреть Субвенции 2017'!DH24*2613*1.2+'не смотреть Субвенции 2017'!DI24*2613)/1000,1)</f>
        <v>8578.7000000000007</v>
      </c>
      <c r="DL24" s="1448">
        <f t="shared" si="18"/>
        <v>154872.6</v>
      </c>
      <c r="DM24" s="1440">
        <v>4496</v>
      </c>
      <c r="DN24" s="1447">
        <f t="shared" si="19"/>
        <v>2641.5</v>
      </c>
      <c r="DO24" s="1439">
        <f t="shared" si="20"/>
        <v>159368.6</v>
      </c>
      <c r="DP24" s="1448">
        <f t="shared" si="21"/>
        <v>157514100</v>
      </c>
      <c r="DQ24" s="761" t="e">
        <f>#REF!</f>
        <v>#REF!</v>
      </c>
      <c r="DR24" s="1236">
        <v>159972089.66000003</v>
      </c>
      <c r="DS24" s="1254">
        <f t="shared" si="22"/>
        <v>-2457989.6600000262</v>
      </c>
      <c r="DT24" s="1450" t="e">
        <f t="shared" si="23"/>
        <v>#REF!</v>
      </c>
    </row>
    <row r="25" spans="1:124" s="1334" customFormat="1" ht="18.75">
      <c r="A25" s="1306" t="s">
        <v>207</v>
      </c>
      <c r="B25" s="1249">
        <v>2652</v>
      </c>
      <c r="C25" s="1249">
        <v>2652</v>
      </c>
      <c r="D25" s="1249">
        <v>32</v>
      </c>
      <c r="E25" s="1249">
        <v>32</v>
      </c>
      <c r="F25" s="1249">
        <v>0</v>
      </c>
      <c r="G25" s="1308">
        <v>32</v>
      </c>
      <c r="H25" s="1309">
        <v>0</v>
      </c>
      <c r="I25" s="1310">
        <f>'Смарт 2015'!$C$144+'Смарт 2015'!$C$148</f>
        <v>32</v>
      </c>
      <c r="J25" s="1310"/>
      <c r="K25" s="1310">
        <f t="shared" si="1"/>
        <v>18156.8</v>
      </c>
      <c r="L25" s="1310">
        <f>'Смарт 2015'!$D$144+'Смарт 2015'!$D$148</f>
        <v>18156.8</v>
      </c>
      <c r="M25" s="1310">
        <f>'Смарт 2015'!$J$144+'Смарт 2015'!$J$148</f>
        <v>0</v>
      </c>
      <c r="N25" s="1311">
        <f t="shared" si="2"/>
        <v>18156.8</v>
      </c>
      <c r="O25" s="1311">
        <f t="shared" si="3"/>
        <v>18156.8</v>
      </c>
      <c r="P25" s="1311"/>
      <c r="Q25" s="1249">
        <v>18749.100000000002</v>
      </c>
      <c r="R25" s="1249">
        <v>18316.8</v>
      </c>
      <c r="S25" s="1249">
        <v>0</v>
      </c>
      <c r="T25" s="1249">
        <v>193.3</v>
      </c>
      <c r="U25" s="1249"/>
      <c r="V25" s="1313">
        <v>193.3</v>
      </c>
      <c r="W25" s="1313"/>
      <c r="X25" s="1313">
        <v>0</v>
      </c>
      <c r="Y25" s="1313"/>
      <c r="Z25" s="1313">
        <v>193.3</v>
      </c>
      <c r="AA25" s="1313">
        <v>0</v>
      </c>
      <c r="AB25" s="1314">
        <f t="shared" si="4"/>
        <v>0</v>
      </c>
      <c r="AC25" s="2">
        <v>193.3</v>
      </c>
      <c r="AD25" s="2">
        <v>4.2</v>
      </c>
      <c r="AE25" s="1316">
        <v>23103.8</v>
      </c>
      <c r="AF25" s="1317">
        <f t="shared" si="5"/>
        <v>53591.6</v>
      </c>
      <c r="AG25" s="1318">
        <f t="shared" si="6"/>
        <v>53591.6</v>
      </c>
      <c r="AH25" s="1318">
        <f t="shared" si="7"/>
        <v>507.8</v>
      </c>
      <c r="AI25" s="1318"/>
      <c r="AJ25" s="1249">
        <v>53048.4</v>
      </c>
      <c r="AK25" s="1249">
        <v>505.2</v>
      </c>
      <c r="AL25" s="1249">
        <v>53904.4</v>
      </c>
      <c r="AM25" s="1249">
        <v>507.8</v>
      </c>
      <c r="AN25" s="1249">
        <v>0</v>
      </c>
      <c r="AO25" s="1249"/>
      <c r="AP25" s="1313">
        <v>0</v>
      </c>
      <c r="AQ25" s="1313"/>
      <c r="AR25" s="1313">
        <v>0</v>
      </c>
      <c r="AS25" s="1313"/>
      <c r="AT25" s="1313">
        <v>0</v>
      </c>
      <c r="AU25" s="1313"/>
      <c r="AV25" s="1312">
        <v>0</v>
      </c>
      <c r="AW25" s="1312">
        <v>0</v>
      </c>
      <c r="AX25" s="1351"/>
      <c r="AY25" s="1352"/>
      <c r="AZ25" s="1320">
        <v>18991.599999999999</v>
      </c>
      <c r="BA25" s="1321">
        <v>0</v>
      </c>
      <c r="BB25" s="1322">
        <f t="shared" si="8"/>
        <v>0</v>
      </c>
      <c r="BC25" s="1323">
        <f t="shared" si="9"/>
        <v>0</v>
      </c>
      <c r="BD25" s="1323">
        <f t="shared" si="25"/>
        <v>0</v>
      </c>
      <c r="BE25" s="1323"/>
      <c r="BF25" s="1323"/>
      <c r="BG25" s="1249">
        <v>0</v>
      </c>
      <c r="BH25" s="1249"/>
      <c r="BI25" s="1249">
        <v>0</v>
      </c>
      <c r="BJ25" s="1249"/>
      <c r="BK25" s="1249">
        <v>0</v>
      </c>
      <c r="BL25" s="1249"/>
      <c r="BM25" s="1249">
        <v>0</v>
      </c>
      <c r="BN25" s="1249"/>
      <c r="BO25" s="1249">
        <v>0</v>
      </c>
      <c r="BP25" s="1249"/>
      <c r="BQ25" s="1249">
        <v>0</v>
      </c>
      <c r="BR25" s="1249"/>
      <c r="BS25" s="1249">
        <v>0</v>
      </c>
      <c r="BT25" s="1249"/>
      <c r="BU25" s="1333">
        <v>0</v>
      </c>
      <c r="BV25" s="1333"/>
      <c r="BW25" s="1333">
        <v>0</v>
      </c>
      <c r="BX25" s="1333"/>
      <c r="BY25" s="1249">
        <v>0</v>
      </c>
      <c r="BZ25" s="1249"/>
      <c r="CA25" s="1249"/>
      <c r="CB25" s="1249"/>
      <c r="CC25" s="1249">
        <v>0</v>
      </c>
      <c r="CD25" s="1249">
        <v>0</v>
      </c>
      <c r="CE25" s="1249">
        <v>0</v>
      </c>
      <c r="CF25" s="1249"/>
      <c r="CG25" s="1333"/>
      <c r="CH25" s="1333"/>
      <c r="CI25" s="1333">
        <v>0</v>
      </c>
      <c r="CJ25" s="1333">
        <v>0</v>
      </c>
      <c r="CK25" s="1249">
        <v>145.4</v>
      </c>
      <c r="CL25" s="1249">
        <v>154.4</v>
      </c>
      <c r="CM25" s="1249">
        <v>0</v>
      </c>
      <c r="CN25" s="1326">
        <v>154.5</v>
      </c>
      <c r="CO25" s="1326">
        <v>0</v>
      </c>
      <c r="CP25" s="1326">
        <f t="shared" si="10"/>
        <v>-9.9999999999994316E-2</v>
      </c>
      <c r="CQ25" s="1347">
        <v>9843.4</v>
      </c>
      <c r="CR25" s="1248">
        <f>ROUND('Смарт 2015'!$K$147,2)</f>
        <v>6100</v>
      </c>
      <c r="CS25" s="1327">
        <f t="shared" si="11"/>
        <v>18249.7</v>
      </c>
      <c r="CT25" s="1327">
        <f t="shared" si="12"/>
        <v>18249.7</v>
      </c>
      <c r="CU25" s="1328">
        <f t="shared" si="12"/>
        <v>0</v>
      </c>
      <c r="CV25" s="1328">
        <f t="shared" si="13"/>
        <v>9854.81</v>
      </c>
      <c r="CW25" s="1249">
        <v>15734</v>
      </c>
      <c r="CX25" s="1249">
        <v>18259</v>
      </c>
      <c r="CY25" s="1249">
        <v>0</v>
      </c>
      <c r="CZ25" s="1234">
        <f t="shared" si="0"/>
        <v>89998.1</v>
      </c>
      <c r="DA25" s="2">
        <v>0</v>
      </c>
      <c r="DB25" s="2">
        <v>1164.7</v>
      </c>
      <c r="DC25" s="1329">
        <f t="shared" si="14"/>
        <v>1382.6</v>
      </c>
      <c r="DD25" s="1434">
        <f t="shared" si="15"/>
        <v>88615.5</v>
      </c>
      <c r="DE25" s="1324">
        <f t="shared" si="16"/>
        <v>115377.4</v>
      </c>
      <c r="DF25" s="433">
        <v>0</v>
      </c>
      <c r="DG25" s="433">
        <v>0</v>
      </c>
      <c r="DH25" s="433">
        <v>18</v>
      </c>
      <c r="DI25" s="433">
        <f t="shared" si="17"/>
        <v>2634</v>
      </c>
      <c r="DJ25" s="1255">
        <v>2652</v>
      </c>
      <c r="DK25" s="1323">
        <f>ROUND((DF25*1353+'не смотреть Субвенции 2017'!DG25*723+'не смотреть Субвенции 2017'!DH25*2613*1.2+'не смотреть Субвенции 2017'!DI25*2613)/1000,1)</f>
        <v>6939.1</v>
      </c>
      <c r="DL25" s="1448">
        <f t="shared" si="18"/>
        <v>122316.5</v>
      </c>
      <c r="DM25" s="1440">
        <v>1233.7999999999993</v>
      </c>
      <c r="DN25" s="1447">
        <f t="shared" si="19"/>
        <v>2088.8000000000002</v>
      </c>
      <c r="DO25" s="1439">
        <f t="shared" si="20"/>
        <v>123550.3</v>
      </c>
      <c r="DP25" s="1448">
        <f t="shared" si="21"/>
        <v>124405300</v>
      </c>
      <c r="DQ25" s="761" t="e">
        <f>#REF!</f>
        <v>#REF!</v>
      </c>
      <c r="DR25" s="1236">
        <v>125317664.87</v>
      </c>
      <c r="DS25" s="1254">
        <f t="shared" si="22"/>
        <v>-912364.87000000477</v>
      </c>
      <c r="DT25" s="1450" t="e">
        <f t="shared" si="23"/>
        <v>#REF!</v>
      </c>
    </row>
    <row r="26" spans="1:124" s="1334" customFormat="1" ht="18.75">
      <c r="A26" s="1452" t="s">
        <v>212</v>
      </c>
      <c r="B26" s="1249">
        <v>4334</v>
      </c>
      <c r="C26" s="1249">
        <v>4354</v>
      </c>
      <c r="D26" s="1249">
        <v>77.2</v>
      </c>
      <c r="E26" s="1249">
        <v>78</v>
      </c>
      <c r="F26" s="1249">
        <v>0</v>
      </c>
      <c r="G26" s="1308">
        <v>79.099999999999994</v>
      </c>
      <c r="H26" s="1309">
        <v>0</v>
      </c>
      <c r="I26" s="1310">
        <f>'Смарт 2015'!$C$150+'Смарт 2015'!$C$155</f>
        <v>75.2</v>
      </c>
      <c r="J26" s="1310">
        <v>0.5</v>
      </c>
      <c r="K26" s="1310">
        <f t="shared" si="1"/>
        <v>36998.800000000003</v>
      </c>
      <c r="L26" s="1310">
        <f>'Смарт 2015'!$D$150+'Смарт 2015'!$D$155</f>
        <v>36779.800000000003</v>
      </c>
      <c r="M26" s="1310">
        <f>'Смарт 2015'!$J$150+'Смарт 2015'!$J$155</f>
        <v>219</v>
      </c>
      <c r="N26" s="1311">
        <f t="shared" si="2"/>
        <v>38687.300000000003</v>
      </c>
      <c r="O26" s="1311">
        <f t="shared" si="3"/>
        <v>38687.300000000003</v>
      </c>
      <c r="P26" s="1311">
        <f>ROUND(M26/J26*H26,1)</f>
        <v>0</v>
      </c>
      <c r="Q26" s="1249">
        <v>36575.100000000006</v>
      </c>
      <c r="R26" s="1249">
        <v>36760.800000000003</v>
      </c>
      <c r="S26" s="1249">
        <v>0</v>
      </c>
      <c r="T26" s="1249">
        <v>410.4</v>
      </c>
      <c r="U26" s="1249">
        <v>17.3</v>
      </c>
      <c r="V26" s="1313">
        <v>413.59999999999997</v>
      </c>
      <c r="W26" s="1313">
        <v>19.099999999999998</v>
      </c>
      <c r="X26" s="1313">
        <v>0</v>
      </c>
      <c r="Y26" s="1313">
        <v>0</v>
      </c>
      <c r="Z26" s="1313">
        <v>413.59999999999997</v>
      </c>
      <c r="AA26" s="1313">
        <v>19.099999999999998</v>
      </c>
      <c r="AB26" s="1350">
        <f t="shared" si="4"/>
        <v>7.9000000000000341</v>
      </c>
      <c r="AC26" s="1355">
        <v>421.5</v>
      </c>
      <c r="AD26" s="1355">
        <v>22</v>
      </c>
      <c r="AE26" s="1316">
        <v>24506.2</v>
      </c>
      <c r="AF26" s="1317">
        <f t="shared" si="5"/>
        <v>128791.2</v>
      </c>
      <c r="AG26" s="1318">
        <f t="shared" si="6"/>
        <v>123952.4</v>
      </c>
      <c r="AH26" s="1318">
        <f t="shared" si="7"/>
        <v>4201</v>
      </c>
      <c r="AI26" s="1318">
        <f t="shared" si="24"/>
        <v>4838.8</v>
      </c>
      <c r="AJ26" s="1249">
        <v>115024.20000000001</v>
      </c>
      <c r="AK26" s="1249">
        <v>4131.3</v>
      </c>
      <c r="AL26" s="1249">
        <v>115348.20000000001</v>
      </c>
      <c r="AM26" s="1249">
        <v>4201</v>
      </c>
      <c r="AN26" s="1249">
        <v>0</v>
      </c>
      <c r="AO26" s="1249">
        <v>0</v>
      </c>
      <c r="AP26" s="1313">
        <v>32.299999999999997</v>
      </c>
      <c r="AQ26" s="1313">
        <v>0.8</v>
      </c>
      <c r="AR26" s="1313">
        <v>33.9</v>
      </c>
      <c r="AS26" s="1313">
        <v>0.8</v>
      </c>
      <c r="AT26" s="1313">
        <v>0</v>
      </c>
      <c r="AU26" s="1313">
        <v>0</v>
      </c>
      <c r="AV26" s="1312">
        <v>33.9</v>
      </c>
      <c r="AW26" s="1312">
        <v>0.8</v>
      </c>
      <c r="AX26" s="1356">
        <v>36.299999999999997</v>
      </c>
      <c r="AY26" s="1356">
        <v>0.5</v>
      </c>
      <c r="AZ26" s="1320">
        <v>21765.1</v>
      </c>
      <c r="BA26" s="1321">
        <v>19048.8</v>
      </c>
      <c r="BB26" s="1322">
        <f t="shared" si="8"/>
        <v>9587.1</v>
      </c>
      <c r="BC26" s="1323">
        <f t="shared" si="9"/>
        <v>9480.9</v>
      </c>
      <c r="BD26" s="1323">
        <f>BH26/AQ26*AY26</f>
        <v>106.1875</v>
      </c>
      <c r="BE26" s="1323"/>
      <c r="BF26" s="1323">
        <f>ROUND((BJ26+BL26)/AW26*AY26,1)</f>
        <v>106.2</v>
      </c>
      <c r="BG26" s="1249">
        <v>7013.0999999999995</v>
      </c>
      <c r="BH26" s="1249">
        <v>169.9</v>
      </c>
      <c r="BI26" s="1249">
        <v>7219.5999999999995</v>
      </c>
      <c r="BJ26" s="1249">
        <v>169.9</v>
      </c>
      <c r="BK26" s="1249">
        <v>0</v>
      </c>
      <c r="BL26" s="1249">
        <v>0</v>
      </c>
      <c r="BM26" s="1249">
        <v>0</v>
      </c>
      <c r="BN26" s="1249">
        <v>0</v>
      </c>
      <c r="BO26" s="1249">
        <v>0</v>
      </c>
      <c r="BP26" s="1249">
        <v>0</v>
      </c>
      <c r="BQ26" s="1249">
        <v>0</v>
      </c>
      <c r="BR26" s="1249">
        <v>0</v>
      </c>
      <c r="BS26" s="1249">
        <v>0</v>
      </c>
      <c r="BT26" s="1249">
        <v>0</v>
      </c>
      <c r="BU26" s="1333">
        <v>0</v>
      </c>
      <c r="BV26" s="1333">
        <v>0</v>
      </c>
      <c r="BW26" s="1333">
        <v>0</v>
      </c>
      <c r="BX26" s="1333">
        <v>0</v>
      </c>
      <c r="BY26" s="1249">
        <v>1.4</v>
      </c>
      <c r="BZ26" s="1249">
        <v>1</v>
      </c>
      <c r="CA26" s="1249">
        <v>1.5</v>
      </c>
      <c r="CB26" s="1249">
        <v>1</v>
      </c>
      <c r="CC26" s="1249">
        <v>0</v>
      </c>
      <c r="CD26" s="1249">
        <v>0</v>
      </c>
      <c r="CE26" s="1249">
        <v>242.4</v>
      </c>
      <c r="CF26" s="1249">
        <v>77.3</v>
      </c>
      <c r="CG26" s="1333">
        <v>242.4</v>
      </c>
      <c r="CH26" s="1333">
        <v>77.3</v>
      </c>
      <c r="CI26" s="1333">
        <v>0</v>
      </c>
      <c r="CJ26" s="1333">
        <v>0</v>
      </c>
      <c r="CK26" s="1249">
        <v>373.1</v>
      </c>
      <c r="CL26" s="1249">
        <v>388.8</v>
      </c>
      <c r="CM26" s="1249">
        <v>0</v>
      </c>
      <c r="CN26" s="1325">
        <v>373.4</v>
      </c>
      <c r="CO26" s="1325">
        <v>27.3</v>
      </c>
      <c r="CP26" s="1326">
        <f t="shared" si="10"/>
        <v>-11.899999999999967</v>
      </c>
      <c r="CQ26" s="1347">
        <v>10892.9</v>
      </c>
      <c r="CR26" s="1248">
        <f>ROUND('Смарт 2015'!$K$154,2)</f>
        <v>11547.27</v>
      </c>
      <c r="CS26" s="1327">
        <f t="shared" si="11"/>
        <v>52591.8</v>
      </c>
      <c r="CT26" s="1327">
        <f t="shared" si="12"/>
        <v>48808.9</v>
      </c>
      <c r="CU26" s="1328">
        <f t="shared" si="12"/>
        <v>3782.9</v>
      </c>
      <c r="CV26" s="1328">
        <f t="shared" si="13"/>
        <v>10900.98</v>
      </c>
      <c r="CW26" s="1249">
        <v>50178.899999999994</v>
      </c>
      <c r="CX26" s="1249">
        <v>50859.6</v>
      </c>
      <c r="CY26" s="1249">
        <v>0</v>
      </c>
      <c r="CZ26" s="1234">
        <f t="shared" si="0"/>
        <v>229977.09999999998</v>
      </c>
      <c r="DA26" s="2">
        <v>0</v>
      </c>
      <c r="DB26" s="2">
        <v>9425.9</v>
      </c>
      <c r="DC26" s="1329">
        <f t="shared" si="14"/>
        <v>11189.2</v>
      </c>
      <c r="DD26" s="1434">
        <f t="shared" si="15"/>
        <v>218787.89999999997</v>
      </c>
      <c r="DE26" s="1324">
        <f t="shared" si="16"/>
        <v>284861.8</v>
      </c>
      <c r="DF26" s="433">
        <v>0</v>
      </c>
      <c r="DG26" s="433">
        <v>0</v>
      </c>
      <c r="DH26" s="433">
        <v>30</v>
      </c>
      <c r="DI26" s="433">
        <f t="shared" si="17"/>
        <v>4324</v>
      </c>
      <c r="DJ26" s="1255">
        <v>4354</v>
      </c>
      <c r="DK26" s="1323">
        <f>ROUND((DF26*1353+'не смотреть Субвенции 2017'!DG26*723+'не смотреть Субвенции 2017'!DH26*2613*1.2+'не смотреть Субвенции 2017'!DI26*2613)/1000,1)</f>
        <v>11392.7</v>
      </c>
      <c r="DL26" s="1448">
        <f t="shared" si="18"/>
        <v>296254.5</v>
      </c>
      <c r="DM26" s="1440">
        <v>1430</v>
      </c>
      <c r="DN26" s="1447">
        <f t="shared" si="19"/>
        <v>6019.4</v>
      </c>
      <c r="DO26" s="1439">
        <f t="shared" si="20"/>
        <v>297684.5</v>
      </c>
      <c r="DP26" s="1448">
        <f t="shared" si="21"/>
        <v>302273900</v>
      </c>
      <c r="DQ26" s="1457" t="e">
        <f>#REF!</f>
        <v>#REF!</v>
      </c>
      <c r="DR26" s="1236">
        <v>290228395.17000002</v>
      </c>
      <c r="DS26" s="1451">
        <f t="shared" si="22"/>
        <v>12045504.829999983</v>
      </c>
      <c r="DT26" s="1456" t="e">
        <f t="shared" si="23"/>
        <v>#REF!</v>
      </c>
    </row>
    <row r="27" spans="1:124" s="1334" customFormat="1" ht="18.75">
      <c r="A27" s="1306" t="s">
        <v>227</v>
      </c>
      <c r="B27" s="1249">
        <v>892</v>
      </c>
      <c r="C27" s="1249">
        <v>892</v>
      </c>
      <c r="D27" s="1249">
        <v>8</v>
      </c>
      <c r="E27" s="1249">
        <v>8</v>
      </c>
      <c r="F27" s="1249">
        <v>0</v>
      </c>
      <c r="G27" s="1357">
        <v>7</v>
      </c>
      <c r="H27" s="1358">
        <v>1</v>
      </c>
      <c r="I27" s="1359">
        <f>'Смарт 2015'!$C$158+'Смарт 2015'!$C$163</f>
        <v>9.5</v>
      </c>
      <c r="J27" s="1359">
        <v>1</v>
      </c>
      <c r="K27" s="1310">
        <f t="shared" si="1"/>
        <v>7274.5000000000009</v>
      </c>
      <c r="L27" s="1310">
        <f>'Смарт 2015'!$D$158+'Смарт 2015'!$D$163</f>
        <v>7001.4000000000005</v>
      </c>
      <c r="M27" s="1310">
        <f>'Смарт 2015'!$J$158+'Смарт 2015'!$J$163</f>
        <v>273.10000000000002</v>
      </c>
      <c r="N27" s="1311">
        <f t="shared" si="2"/>
        <v>5432</v>
      </c>
      <c r="O27" s="1311">
        <f t="shared" si="3"/>
        <v>5158.8999999999996</v>
      </c>
      <c r="P27" s="1311">
        <f>ROUND(M27/J27*H27,1)</f>
        <v>273.10000000000002</v>
      </c>
      <c r="Q27" s="1249">
        <v>5389.5</v>
      </c>
      <c r="R27" s="1249">
        <v>5389.5</v>
      </c>
      <c r="S27" s="1249">
        <v>0</v>
      </c>
      <c r="T27" s="1249">
        <v>78</v>
      </c>
      <c r="U27" s="1249">
        <v>1.1000000000000001</v>
      </c>
      <c r="V27" s="1313">
        <v>78</v>
      </c>
      <c r="W27" s="1313">
        <v>1.1000000000000001</v>
      </c>
      <c r="X27" s="1313">
        <v>0</v>
      </c>
      <c r="Y27" s="1313"/>
      <c r="Z27" s="1313">
        <v>78</v>
      </c>
      <c r="AA27" s="1313">
        <v>1.1000000000000001</v>
      </c>
      <c r="AB27" s="1314">
        <f t="shared" si="4"/>
        <v>0</v>
      </c>
      <c r="AC27" s="1360">
        <v>78</v>
      </c>
      <c r="AD27" s="1360">
        <v>1.1000000000000001</v>
      </c>
      <c r="AE27" s="1316">
        <v>27255.9</v>
      </c>
      <c r="AF27" s="1317">
        <f t="shared" si="5"/>
        <v>25814</v>
      </c>
      <c r="AG27" s="1318">
        <f t="shared" si="6"/>
        <v>25511.5</v>
      </c>
      <c r="AH27" s="1318">
        <f t="shared" si="7"/>
        <v>302.5</v>
      </c>
      <c r="AI27" s="1318">
        <f t="shared" si="24"/>
        <v>302.5</v>
      </c>
      <c r="AJ27" s="1249">
        <v>24723.599999999999</v>
      </c>
      <c r="AK27" s="1249">
        <v>302.5</v>
      </c>
      <c r="AL27" s="1249">
        <v>24723.599999999999</v>
      </c>
      <c r="AM27" s="1249">
        <v>302.5</v>
      </c>
      <c r="AN27" s="1249">
        <v>0</v>
      </c>
      <c r="AO27" s="1249"/>
      <c r="AP27" s="1313">
        <v>2</v>
      </c>
      <c r="AQ27" s="1313"/>
      <c r="AR27" s="1313">
        <v>2</v>
      </c>
      <c r="AS27" s="1313"/>
      <c r="AT27" s="1313">
        <v>0</v>
      </c>
      <c r="AU27" s="1313"/>
      <c r="AV27" s="1312">
        <v>2</v>
      </c>
      <c r="AW27" s="1312">
        <v>0</v>
      </c>
      <c r="AX27" s="1361">
        <v>2</v>
      </c>
      <c r="AY27" s="1361">
        <v>0</v>
      </c>
      <c r="AZ27" s="1320">
        <v>22643.599999999999</v>
      </c>
      <c r="BA27" s="1321">
        <v>19195.8</v>
      </c>
      <c r="BB27" s="1322">
        <f t="shared" si="8"/>
        <v>543.4</v>
      </c>
      <c r="BC27" s="1323">
        <f t="shared" si="9"/>
        <v>543.4</v>
      </c>
      <c r="BD27" s="1323">
        <f t="shared" si="25"/>
        <v>0</v>
      </c>
      <c r="BE27" s="1323"/>
      <c r="BF27" s="1323"/>
      <c r="BG27" s="1249">
        <v>435.1</v>
      </c>
      <c r="BH27" s="1249"/>
      <c r="BI27" s="1249">
        <v>435.1</v>
      </c>
      <c r="BJ27" s="1249"/>
      <c r="BK27" s="1249">
        <v>0</v>
      </c>
      <c r="BL27" s="1249"/>
      <c r="BM27" s="1249">
        <v>0</v>
      </c>
      <c r="BN27" s="1249"/>
      <c r="BO27" s="1249">
        <v>0</v>
      </c>
      <c r="BP27" s="1249"/>
      <c r="BQ27" s="1249">
        <v>0</v>
      </c>
      <c r="BR27" s="1249"/>
      <c r="BS27" s="1249">
        <v>0</v>
      </c>
      <c r="BT27" s="1249"/>
      <c r="BU27" s="1333">
        <v>0</v>
      </c>
      <c r="BV27" s="1333"/>
      <c r="BW27" s="1333">
        <v>0</v>
      </c>
      <c r="BX27" s="1333"/>
      <c r="BY27" s="1249">
        <v>0</v>
      </c>
      <c r="BZ27" s="1249"/>
      <c r="CA27" s="1249"/>
      <c r="CB27" s="1249"/>
      <c r="CC27" s="1249">
        <v>0</v>
      </c>
      <c r="CD27" s="1249">
        <v>0</v>
      </c>
      <c r="CE27" s="1249">
        <v>0</v>
      </c>
      <c r="CF27" s="1249"/>
      <c r="CG27" s="1333"/>
      <c r="CH27" s="1333"/>
      <c r="CI27" s="1333">
        <v>0</v>
      </c>
      <c r="CJ27" s="1333">
        <v>0</v>
      </c>
      <c r="CK27" s="1249">
        <v>71.3</v>
      </c>
      <c r="CL27" s="1249">
        <v>71.3</v>
      </c>
      <c r="CM27" s="1249">
        <v>0</v>
      </c>
      <c r="CN27" s="1362">
        <v>71</v>
      </c>
      <c r="CO27" s="1362">
        <v>2</v>
      </c>
      <c r="CP27" s="1326">
        <f t="shared" si="10"/>
        <v>-1.7000000000000028</v>
      </c>
      <c r="CQ27" s="1347">
        <v>12279.9</v>
      </c>
      <c r="CR27" s="1248">
        <f>ROUND('Смарт 2015'!$K$162,2)</f>
        <v>12433.33</v>
      </c>
      <c r="CS27" s="1327">
        <f t="shared" si="11"/>
        <v>10760.9</v>
      </c>
      <c r="CT27" s="1327">
        <f t="shared" si="12"/>
        <v>10462.5</v>
      </c>
      <c r="CU27" s="1328">
        <f t="shared" si="12"/>
        <v>298.39999999999998</v>
      </c>
      <c r="CV27" s="1328">
        <f t="shared" si="13"/>
        <v>13318.14</v>
      </c>
      <c r="CW27" s="1249">
        <v>11395</v>
      </c>
      <c r="CX27" s="1249">
        <v>11395</v>
      </c>
      <c r="CY27" s="1249">
        <v>0</v>
      </c>
      <c r="CZ27" s="1234">
        <f t="shared" si="0"/>
        <v>42550.3</v>
      </c>
      <c r="DA27" s="2">
        <v>0</v>
      </c>
      <c r="DB27" s="2">
        <v>1923.7</v>
      </c>
      <c r="DC27" s="1329">
        <f t="shared" si="14"/>
        <v>2283.6</v>
      </c>
      <c r="DD27" s="1434">
        <f t="shared" si="15"/>
        <v>40266.700000000004</v>
      </c>
      <c r="DE27" s="1324">
        <f t="shared" si="16"/>
        <v>52427.199999999997</v>
      </c>
      <c r="DF27" s="433">
        <v>0</v>
      </c>
      <c r="DG27" s="433">
        <v>0</v>
      </c>
      <c r="DH27" s="433">
        <v>1</v>
      </c>
      <c r="DI27" s="433">
        <f t="shared" si="17"/>
        <v>891</v>
      </c>
      <c r="DJ27" s="1255">
        <v>892</v>
      </c>
      <c r="DK27" s="1323">
        <f>ROUND((DF27*1353+'не смотреть Субвенции 2017'!DG27*723+'не смотреть Субвенции 2017'!DH27*2613*1.2+'не смотреть Субвенции 2017'!DI27*2613)/1000,1)</f>
        <v>2331.3000000000002</v>
      </c>
      <c r="DL27" s="1448">
        <f t="shared" si="18"/>
        <v>54758.5</v>
      </c>
      <c r="DM27" s="1440">
        <v>1070</v>
      </c>
      <c r="DN27" s="1447">
        <f t="shared" si="19"/>
        <v>1231.5999999999999</v>
      </c>
      <c r="DO27" s="1439">
        <f t="shared" si="20"/>
        <v>55828.5</v>
      </c>
      <c r="DP27" s="1448">
        <f t="shared" si="21"/>
        <v>55990100</v>
      </c>
      <c r="DQ27" s="761" t="e">
        <f>#REF!</f>
        <v>#REF!</v>
      </c>
      <c r="DR27" s="1236">
        <v>57310354.269999996</v>
      </c>
      <c r="DS27" s="1254">
        <f t="shared" si="22"/>
        <v>-1320254.2699999958</v>
      </c>
      <c r="DT27" s="1450" t="e">
        <f t="shared" si="23"/>
        <v>#REF!</v>
      </c>
    </row>
    <row r="28" spans="1:124" s="1334" customFormat="1" ht="18.75">
      <c r="A28" s="1306" t="s">
        <v>231</v>
      </c>
      <c r="B28" s="1248">
        <v>1588</v>
      </c>
      <c r="C28" s="1251">
        <v>1590</v>
      </c>
      <c r="D28" s="1307">
        <v>29.8</v>
      </c>
      <c r="E28" s="1307">
        <v>29.8</v>
      </c>
      <c r="F28" s="1307">
        <v>0</v>
      </c>
      <c r="G28" s="1363">
        <v>30</v>
      </c>
      <c r="H28" s="1364"/>
      <c r="I28" s="1365">
        <f>'Смарт 2015'!$C$165+'Смарт 2015'!$C$170</f>
        <v>30</v>
      </c>
      <c r="J28" s="1365"/>
      <c r="K28" s="1310">
        <f t="shared" si="1"/>
        <v>13270.6</v>
      </c>
      <c r="L28" s="1310">
        <f>'Смарт 2015'!$D$165+'Смарт 2015'!$D$170</f>
        <v>13270.6</v>
      </c>
      <c r="M28" s="1310">
        <f>'Смарт 2015'!$J$165+'Смарт 2015'!$J$170</f>
        <v>0</v>
      </c>
      <c r="N28" s="1311">
        <f t="shared" si="2"/>
        <v>13270.6</v>
      </c>
      <c r="O28" s="1311">
        <f t="shared" si="3"/>
        <v>13270.6</v>
      </c>
      <c r="P28" s="1311"/>
      <c r="Q28" s="1307">
        <v>12878.4</v>
      </c>
      <c r="R28" s="1307">
        <v>12878.4</v>
      </c>
      <c r="S28" s="1307">
        <v>0</v>
      </c>
      <c r="T28" s="1307">
        <v>167.8</v>
      </c>
      <c r="U28" s="1307">
        <v>3.5</v>
      </c>
      <c r="V28" s="1312">
        <v>167.8</v>
      </c>
      <c r="W28" s="1312">
        <v>3.5</v>
      </c>
      <c r="X28" s="1312">
        <v>0</v>
      </c>
      <c r="Y28" s="1312">
        <v>0</v>
      </c>
      <c r="Z28" s="1313">
        <v>167.8</v>
      </c>
      <c r="AA28" s="1313">
        <v>3.5</v>
      </c>
      <c r="AB28" s="1314">
        <f t="shared" si="4"/>
        <v>-0.80000000000001137</v>
      </c>
      <c r="AC28" s="1366">
        <v>167</v>
      </c>
      <c r="AD28" s="1366">
        <v>3.5</v>
      </c>
      <c r="AE28" s="1316">
        <v>24245.1</v>
      </c>
      <c r="AF28" s="1317">
        <f t="shared" si="5"/>
        <v>49477.5</v>
      </c>
      <c r="AG28" s="1318">
        <f t="shared" si="6"/>
        <v>48587.199999999997</v>
      </c>
      <c r="AH28" s="1318">
        <f t="shared" si="7"/>
        <v>890.3</v>
      </c>
      <c r="AI28" s="1318">
        <f t="shared" si="24"/>
        <v>890.3</v>
      </c>
      <c r="AJ28" s="1307">
        <v>45637.200000000004</v>
      </c>
      <c r="AK28" s="1307">
        <v>890.3</v>
      </c>
      <c r="AL28" s="1307">
        <v>45637.200000000004</v>
      </c>
      <c r="AM28" s="1307">
        <v>890.3</v>
      </c>
      <c r="AN28" s="1307">
        <v>0</v>
      </c>
      <c r="AO28" s="1307">
        <v>0</v>
      </c>
      <c r="AP28" s="1312">
        <v>14</v>
      </c>
      <c r="AQ28" s="1312">
        <v>0.4</v>
      </c>
      <c r="AR28" s="1312">
        <v>14</v>
      </c>
      <c r="AS28" s="1312">
        <v>0.4</v>
      </c>
      <c r="AT28" s="1312">
        <v>0</v>
      </c>
      <c r="AU28" s="1312">
        <v>0</v>
      </c>
      <c r="AV28" s="1312">
        <v>14</v>
      </c>
      <c r="AW28" s="1312">
        <v>0.4</v>
      </c>
      <c r="AX28" s="1367">
        <v>15</v>
      </c>
      <c r="AY28" s="1367">
        <v>0.5</v>
      </c>
      <c r="AZ28" s="1320">
        <v>18926.099999999999</v>
      </c>
      <c r="BA28" s="1321">
        <v>18926.5</v>
      </c>
      <c r="BB28" s="1322">
        <f t="shared" si="8"/>
        <v>3544.2</v>
      </c>
      <c r="BC28" s="1323">
        <f t="shared" si="9"/>
        <v>3406.7</v>
      </c>
      <c r="BD28" s="1323">
        <f>BH28/AQ28*AY28</f>
        <v>137.5</v>
      </c>
      <c r="BE28" s="1323"/>
      <c r="BF28" s="1323">
        <f>ROUND((BJ28+BL28)/AW28*AY28,1)</f>
        <v>137.5</v>
      </c>
      <c r="BG28" s="1307">
        <v>3083.7999999999997</v>
      </c>
      <c r="BH28" s="1307">
        <v>110</v>
      </c>
      <c r="BI28" s="1307">
        <v>3083.7999999999997</v>
      </c>
      <c r="BJ28" s="1307">
        <v>110</v>
      </c>
      <c r="BK28" s="1307">
        <v>0</v>
      </c>
      <c r="BL28" s="1307">
        <v>0</v>
      </c>
      <c r="BM28" s="1307">
        <v>0</v>
      </c>
      <c r="BN28" s="1307"/>
      <c r="BO28" s="1307">
        <v>0</v>
      </c>
      <c r="BP28" s="1307"/>
      <c r="BQ28" s="1307">
        <v>0</v>
      </c>
      <c r="BR28" s="1307"/>
      <c r="BS28" s="1307">
        <v>0</v>
      </c>
      <c r="BT28" s="1307"/>
      <c r="BU28" s="1323">
        <v>0</v>
      </c>
      <c r="BV28" s="1323"/>
      <c r="BW28" s="1323">
        <v>0</v>
      </c>
      <c r="BX28" s="1323"/>
      <c r="BY28" s="1307">
        <v>0</v>
      </c>
      <c r="BZ28" s="1307"/>
      <c r="CA28" s="1307"/>
      <c r="CB28" s="1307"/>
      <c r="CC28" s="1307">
        <v>0</v>
      </c>
      <c r="CD28" s="1307">
        <v>0</v>
      </c>
      <c r="CE28" s="1307">
        <v>0</v>
      </c>
      <c r="CF28" s="1307"/>
      <c r="CG28" s="1323"/>
      <c r="CH28" s="1323"/>
      <c r="CI28" s="1323">
        <v>0</v>
      </c>
      <c r="CJ28" s="1323">
        <v>0</v>
      </c>
      <c r="CK28" s="1307">
        <v>159.6</v>
      </c>
      <c r="CL28" s="1307">
        <v>159.6</v>
      </c>
      <c r="CM28" s="1307">
        <v>0</v>
      </c>
      <c r="CN28" s="1368">
        <v>148</v>
      </c>
      <c r="CO28" s="1368">
        <v>13</v>
      </c>
      <c r="CP28" s="1326">
        <f t="shared" si="10"/>
        <v>-1.4000000000000057</v>
      </c>
      <c r="CQ28" s="1369">
        <v>10388</v>
      </c>
      <c r="CR28" s="1248">
        <f>ROUND('Смарт 2015'!$K$169,2)</f>
        <v>7784.01</v>
      </c>
      <c r="CS28" s="1327">
        <f t="shared" si="11"/>
        <v>19663.399999999998</v>
      </c>
      <c r="CT28" s="1327">
        <f t="shared" si="12"/>
        <v>18449.099999999999</v>
      </c>
      <c r="CU28" s="1328">
        <f t="shared" si="12"/>
        <v>1214.3</v>
      </c>
      <c r="CV28" s="1328">
        <f t="shared" si="13"/>
        <v>11189.17</v>
      </c>
      <c r="CW28" s="1307">
        <v>21428.7</v>
      </c>
      <c r="CX28" s="1307">
        <v>21429.5</v>
      </c>
      <c r="CY28" s="1307">
        <v>0</v>
      </c>
      <c r="CZ28" s="1234">
        <f t="shared" si="0"/>
        <v>85955.7</v>
      </c>
      <c r="DA28" s="2">
        <v>0</v>
      </c>
      <c r="DB28" s="2">
        <v>3609.2</v>
      </c>
      <c r="DC28" s="1329">
        <f t="shared" si="14"/>
        <v>4284.3999999999996</v>
      </c>
      <c r="DD28" s="1434">
        <f t="shared" si="15"/>
        <v>81671.3</v>
      </c>
      <c r="DE28" s="1324">
        <f t="shared" si="16"/>
        <v>106336</v>
      </c>
      <c r="DF28" s="433">
        <v>0</v>
      </c>
      <c r="DG28" s="433">
        <v>0</v>
      </c>
      <c r="DH28" s="433">
        <v>8</v>
      </c>
      <c r="DI28" s="433">
        <f t="shared" si="17"/>
        <v>1582</v>
      </c>
      <c r="DJ28" s="1255">
        <v>1590</v>
      </c>
      <c r="DK28" s="1323">
        <f>ROUND((DF28*1353+'не смотреть Субвенции 2017'!DG28*723+'не смотреть Субвенции 2017'!DH28*2613*1.2+'не смотреть Субвенции 2017'!DI28*2613)/1000,1)</f>
        <v>4158.8999999999996</v>
      </c>
      <c r="DL28" s="1448">
        <f t="shared" si="18"/>
        <v>110494.9</v>
      </c>
      <c r="DM28" s="1440">
        <v>3098</v>
      </c>
      <c r="DN28" s="1447">
        <f t="shared" si="19"/>
        <v>2250.6</v>
      </c>
      <c r="DO28" s="1439">
        <f t="shared" si="20"/>
        <v>113592.9</v>
      </c>
      <c r="DP28" s="1448">
        <f t="shared" si="21"/>
        <v>112745500</v>
      </c>
      <c r="DQ28" s="761" t="e">
        <f>#REF!</f>
        <v>#REF!</v>
      </c>
      <c r="DR28" s="1236">
        <v>113382365.59</v>
      </c>
      <c r="DS28" s="1254">
        <f t="shared" si="22"/>
        <v>-636865.59000000358</v>
      </c>
      <c r="DT28" s="1450" t="e">
        <f t="shared" si="23"/>
        <v>#REF!</v>
      </c>
    </row>
    <row r="29" spans="1:124" s="1334" customFormat="1" ht="18.75">
      <c r="A29" s="1306" t="s">
        <v>240</v>
      </c>
      <c r="B29" s="1249">
        <v>1176</v>
      </c>
      <c r="C29" s="1249">
        <v>1178</v>
      </c>
      <c r="D29" s="1249">
        <v>33.700000000000003</v>
      </c>
      <c r="E29" s="1249">
        <v>36.700000000000003</v>
      </c>
      <c r="F29" s="1249">
        <v>0</v>
      </c>
      <c r="G29" s="1308">
        <v>39</v>
      </c>
      <c r="H29" s="1309"/>
      <c r="I29" s="1310">
        <f>'Смарт 2015'!$C$172+'Смарт 2015'!$C$177</f>
        <v>33.799999999999997</v>
      </c>
      <c r="J29" s="1310">
        <f>'Смарт 2015'!$I$179+'Смарт 2015'!$I$184</f>
        <v>0</v>
      </c>
      <c r="K29" s="1310">
        <f t="shared" si="1"/>
        <v>14848.9</v>
      </c>
      <c r="L29" s="1310">
        <f>'Смарт 2015'!$D$172+'Смарт 2015'!$D$177</f>
        <v>14848.9</v>
      </c>
      <c r="M29" s="1310">
        <f>'Смарт 2015'!$J$172+'Смарт 2015'!$J$177</f>
        <v>0</v>
      </c>
      <c r="N29" s="1311">
        <f t="shared" si="2"/>
        <v>17133.3</v>
      </c>
      <c r="O29" s="1311">
        <f t="shared" si="3"/>
        <v>17133.3</v>
      </c>
      <c r="P29" s="1311"/>
      <c r="Q29" s="1249">
        <v>14799.7</v>
      </c>
      <c r="R29" s="1249">
        <v>15085.599999999999</v>
      </c>
      <c r="S29" s="1249">
        <v>0</v>
      </c>
      <c r="T29" s="1249">
        <v>157.9</v>
      </c>
      <c r="U29" s="1249">
        <v>11.4</v>
      </c>
      <c r="V29" s="1313">
        <v>156.99999999999997</v>
      </c>
      <c r="W29" s="1313">
        <v>11.5</v>
      </c>
      <c r="X29" s="1313">
        <v>0</v>
      </c>
      <c r="Y29" s="1313">
        <v>0</v>
      </c>
      <c r="Z29" s="1313">
        <v>156.99999999999997</v>
      </c>
      <c r="AA29" s="1313">
        <v>11.5</v>
      </c>
      <c r="AB29" s="1314">
        <f t="shared" si="4"/>
        <v>1.0000000000000284</v>
      </c>
      <c r="AC29" s="2">
        <v>158</v>
      </c>
      <c r="AD29" s="2">
        <v>11.5</v>
      </c>
      <c r="AE29" s="1316">
        <v>22200.1</v>
      </c>
      <c r="AF29" s="1317">
        <f t="shared" si="5"/>
        <v>44403.8</v>
      </c>
      <c r="AG29" s="1318">
        <f t="shared" si="6"/>
        <v>42091.4</v>
      </c>
      <c r="AH29" s="1318">
        <f t="shared" si="7"/>
        <v>2312.4</v>
      </c>
      <c r="AI29" s="1318">
        <f t="shared" si="24"/>
        <v>2312.4</v>
      </c>
      <c r="AJ29" s="1249">
        <v>39547.1</v>
      </c>
      <c r="AK29" s="1249">
        <v>1704</v>
      </c>
      <c r="AL29" s="1249">
        <v>39285.800000000003</v>
      </c>
      <c r="AM29" s="1249">
        <v>2312.4</v>
      </c>
      <c r="AN29" s="1249">
        <v>0</v>
      </c>
      <c r="AO29" s="1249">
        <v>0</v>
      </c>
      <c r="AP29" s="1313">
        <v>13.200000000000001</v>
      </c>
      <c r="AQ29" s="1313">
        <v>0.3</v>
      </c>
      <c r="AR29" s="1313">
        <v>17.100000000000001</v>
      </c>
      <c r="AS29" s="1313">
        <v>0.5</v>
      </c>
      <c r="AT29" s="1313">
        <v>0</v>
      </c>
      <c r="AU29" s="1313">
        <v>0</v>
      </c>
      <c r="AV29" s="1312">
        <v>17.100000000000001</v>
      </c>
      <c r="AW29" s="1312">
        <v>0.5</v>
      </c>
      <c r="AX29" s="1332">
        <v>22.4</v>
      </c>
      <c r="AY29" s="1332">
        <v>0.5</v>
      </c>
      <c r="AZ29" s="1320">
        <v>20911.900000000001</v>
      </c>
      <c r="BA29" s="1321">
        <v>20929.400000000001</v>
      </c>
      <c r="BB29" s="1322">
        <f t="shared" si="8"/>
        <v>5681.1</v>
      </c>
      <c r="BC29" s="1323">
        <f t="shared" si="9"/>
        <v>5621.1</v>
      </c>
      <c r="BD29" s="1323">
        <f>BH29/AQ29*AY29</f>
        <v>80</v>
      </c>
      <c r="BE29" s="1323"/>
      <c r="BF29" s="1323">
        <f>ROUND((BJ29+BL29)/AW29*AY29,1)</f>
        <v>60</v>
      </c>
      <c r="BG29" s="1249">
        <v>3014.5</v>
      </c>
      <c r="BH29" s="1249">
        <v>48</v>
      </c>
      <c r="BI29" s="1249">
        <v>4074.7</v>
      </c>
      <c r="BJ29" s="1249">
        <v>60</v>
      </c>
      <c r="BK29" s="1249">
        <v>0</v>
      </c>
      <c r="BL29" s="1249"/>
      <c r="BM29" s="1249">
        <v>0</v>
      </c>
      <c r="BN29" s="1249"/>
      <c r="BO29" s="1249">
        <v>0</v>
      </c>
      <c r="BP29" s="1249"/>
      <c r="BQ29" s="1249">
        <v>0</v>
      </c>
      <c r="BR29" s="1249"/>
      <c r="BS29" s="1249">
        <v>0</v>
      </c>
      <c r="BT29" s="1249"/>
      <c r="BU29" s="1333">
        <v>0</v>
      </c>
      <c r="BV29" s="1333"/>
      <c r="BW29" s="1333">
        <v>0</v>
      </c>
      <c r="BX29" s="1333"/>
      <c r="BY29" s="1249">
        <v>0</v>
      </c>
      <c r="BZ29" s="1249"/>
      <c r="CA29" s="1249"/>
      <c r="CB29" s="1249"/>
      <c r="CC29" s="1249">
        <v>0</v>
      </c>
      <c r="CD29" s="1249">
        <v>0</v>
      </c>
      <c r="CE29" s="1249">
        <v>0</v>
      </c>
      <c r="CF29" s="1249"/>
      <c r="CG29" s="1333"/>
      <c r="CH29" s="1333"/>
      <c r="CI29" s="1333">
        <v>0</v>
      </c>
      <c r="CJ29" s="1333">
        <v>0</v>
      </c>
      <c r="CK29" s="1249">
        <v>227.70000000000002</v>
      </c>
      <c r="CL29" s="1249">
        <v>253</v>
      </c>
      <c r="CM29" s="1249">
        <v>0</v>
      </c>
      <c r="CN29" s="1326">
        <v>243</v>
      </c>
      <c r="CO29" s="1326">
        <v>20</v>
      </c>
      <c r="CP29" s="1326">
        <f t="shared" si="10"/>
        <v>-10</v>
      </c>
      <c r="CQ29" s="1347">
        <v>8015.5</v>
      </c>
      <c r="CR29" s="1248">
        <f>ROUND('Смарт 2015'!$K$176,2)</f>
        <v>7354.03</v>
      </c>
      <c r="CS29" s="1327">
        <f t="shared" si="11"/>
        <v>25138.2</v>
      </c>
      <c r="CT29" s="1327">
        <f t="shared" si="12"/>
        <v>23373.200000000001</v>
      </c>
      <c r="CU29" s="1328">
        <f t="shared" si="12"/>
        <v>1765</v>
      </c>
      <c r="CV29" s="1328">
        <f t="shared" si="13"/>
        <v>8618.1200000000008</v>
      </c>
      <c r="CW29" s="1249">
        <v>21191.8</v>
      </c>
      <c r="CX29" s="1249">
        <v>26164.6</v>
      </c>
      <c r="CY29" s="1249">
        <v>0</v>
      </c>
      <c r="CZ29" s="1234">
        <f t="shared" si="0"/>
        <v>92356.400000000009</v>
      </c>
      <c r="DA29" s="2">
        <v>0</v>
      </c>
      <c r="DB29" s="2">
        <v>3797.7000000000003</v>
      </c>
      <c r="DC29" s="1329">
        <f t="shared" si="14"/>
        <v>4508.1000000000004</v>
      </c>
      <c r="DD29" s="1434">
        <f t="shared" si="15"/>
        <v>87848.3</v>
      </c>
      <c r="DE29" s="1324">
        <f t="shared" si="16"/>
        <v>114378.5</v>
      </c>
      <c r="DF29" s="433">
        <v>0</v>
      </c>
      <c r="DG29" s="433">
        <v>0</v>
      </c>
      <c r="DH29" s="433">
        <v>5</v>
      </c>
      <c r="DI29" s="433">
        <f t="shared" si="17"/>
        <v>1173</v>
      </c>
      <c r="DJ29" s="1255">
        <v>1178</v>
      </c>
      <c r="DK29" s="1323">
        <f>ROUND((DF29*1353+'не смотреть Субвенции 2017'!DG29*723+'не смотреть Субвенции 2017'!DH29*2613*1.2+'не смотреть Субвенции 2017'!DI29*2613)/1000,1)</f>
        <v>3080.7</v>
      </c>
      <c r="DL29" s="1448">
        <f t="shared" si="18"/>
        <v>117459.2</v>
      </c>
      <c r="DM29" s="1440">
        <v>3363</v>
      </c>
      <c r="DN29" s="1447">
        <f t="shared" si="19"/>
        <v>2877.2</v>
      </c>
      <c r="DO29" s="1439">
        <f t="shared" si="20"/>
        <v>120822.2</v>
      </c>
      <c r="DP29" s="1448">
        <f t="shared" si="21"/>
        <v>120336400</v>
      </c>
      <c r="DQ29" s="761" t="e">
        <f>#REF!</f>
        <v>#REF!</v>
      </c>
      <c r="DR29" s="1236">
        <v>115159011.47</v>
      </c>
      <c r="DS29" s="1254">
        <f t="shared" si="22"/>
        <v>5177388.5300000012</v>
      </c>
      <c r="DT29" s="1450" t="e">
        <f t="shared" si="23"/>
        <v>#REF!</v>
      </c>
    </row>
    <row r="30" spans="1:124" s="1334" customFormat="1" ht="18.75">
      <c r="A30" s="1306" t="s">
        <v>241</v>
      </c>
      <c r="B30" s="1249">
        <v>1594</v>
      </c>
      <c r="C30" s="1249">
        <v>1601</v>
      </c>
      <c r="D30" s="1249">
        <v>35</v>
      </c>
      <c r="E30" s="1249">
        <v>35</v>
      </c>
      <c r="F30" s="1249">
        <v>0</v>
      </c>
      <c r="G30" s="1357">
        <v>35</v>
      </c>
      <c r="H30" s="1358"/>
      <c r="I30" s="1359">
        <f>'Смарт 2015'!$C$179+'Смарт 2015'!$C$184</f>
        <v>35</v>
      </c>
      <c r="J30" s="1359"/>
      <c r="K30" s="1310">
        <f t="shared" si="1"/>
        <v>16275.7</v>
      </c>
      <c r="L30" s="1310">
        <f>'Смарт 2015'!$D$179+'Смарт 2015'!$D$184</f>
        <v>16275.7</v>
      </c>
      <c r="M30" s="1310">
        <f>'Смарт 2015'!$J$179+'Смарт 2015'!$J$184</f>
        <v>0</v>
      </c>
      <c r="N30" s="1311">
        <f t="shared" si="2"/>
        <v>16275.7</v>
      </c>
      <c r="O30" s="1311">
        <f t="shared" si="3"/>
        <v>16275.7</v>
      </c>
      <c r="P30" s="1311"/>
      <c r="Q30" s="1249">
        <v>15325.400000000001</v>
      </c>
      <c r="R30" s="1249">
        <v>15325.400000000001</v>
      </c>
      <c r="S30" s="1249">
        <v>0</v>
      </c>
      <c r="T30" s="1249">
        <v>231.39999999999998</v>
      </c>
      <c r="U30" s="1249"/>
      <c r="V30" s="1313">
        <v>231.39999999999998</v>
      </c>
      <c r="W30" s="1313"/>
      <c r="X30" s="1313">
        <v>0</v>
      </c>
      <c r="Y30" s="1313"/>
      <c r="Z30" s="1313">
        <v>231.39999999999998</v>
      </c>
      <c r="AA30" s="1313">
        <v>0</v>
      </c>
      <c r="AB30" s="1350">
        <f t="shared" si="4"/>
        <v>2.0000000000000284</v>
      </c>
      <c r="AC30" s="2">
        <v>233.4</v>
      </c>
      <c r="AD30" s="2"/>
      <c r="AE30" s="1316">
        <v>22003.1</v>
      </c>
      <c r="AF30" s="1317">
        <f t="shared" si="5"/>
        <v>61626.3</v>
      </c>
      <c r="AG30" s="1318">
        <f t="shared" si="6"/>
        <v>61626.3</v>
      </c>
      <c r="AH30" s="1318">
        <f t="shared" si="7"/>
        <v>0</v>
      </c>
      <c r="AI30" s="1318"/>
      <c r="AJ30" s="1249">
        <v>57385.999999999993</v>
      </c>
      <c r="AK30" s="1249"/>
      <c r="AL30" s="1249">
        <v>57385.999999999993</v>
      </c>
      <c r="AM30" s="1249"/>
      <c r="AN30" s="1249">
        <v>0</v>
      </c>
      <c r="AO30" s="1249"/>
      <c r="AP30" s="1313">
        <v>5.5</v>
      </c>
      <c r="AQ30" s="1313"/>
      <c r="AR30" s="1313">
        <v>5.5</v>
      </c>
      <c r="AS30" s="1313"/>
      <c r="AT30" s="1313">
        <v>0</v>
      </c>
      <c r="AU30" s="1313"/>
      <c r="AV30" s="1312">
        <v>5.5</v>
      </c>
      <c r="AW30" s="1312">
        <v>0</v>
      </c>
      <c r="AX30" s="1345">
        <v>6.3</v>
      </c>
      <c r="AY30" s="1345">
        <v>0</v>
      </c>
      <c r="AZ30" s="1320">
        <v>21465.200000000001</v>
      </c>
      <c r="BA30" s="1321">
        <v>20500</v>
      </c>
      <c r="BB30" s="1322">
        <f t="shared" si="8"/>
        <v>1622.8</v>
      </c>
      <c r="BC30" s="1323">
        <f t="shared" si="9"/>
        <v>1622.8</v>
      </c>
      <c r="BD30" s="1323">
        <f t="shared" ref="BD30:BD35" si="26">BJ30+BL30</f>
        <v>0</v>
      </c>
      <c r="BE30" s="1323"/>
      <c r="BF30" s="1323"/>
      <c r="BG30" s="1249">
        <v>1308</v>
      </c>
      <c r="BH30" s="1249"/>
      <c r="BI30" s="1249">
        <v>1308</v>
      </c>
      <c r="BJ30" s="1249"/>
      <c r="BK30" s="1249">
        <v>0</v>
      </c>
      <c r="BL30" s="1249"/>
      <c r="BM30" s="1249">
        <v>0</v>
      </c>
      <c r="BN30" s="1249"/>
      <c r="BO30" s="1249">
        <v>0</v>
      </c>
      <c r="BP30" s="1249"/>
      <c r="BQ30" s="1249">
        <v>0</v>
      </c>
      <c r="BR30" s="1249"/>
      <c r="BS30" s="1249">
        <v>0</v>
      </c>
      <c r="BT30" s="1249"/>
      <c r="BU30" s="1333">
        <v>0</v>
      </c>
      <c r="BV30" s="1333"/>
      <c r="BW30" s="1333">
        <v>0</v>
      </c>
      <c r="BX30" s="1333"/>
      <c r="BY30" s="1249">
        <v>0</v>
      </c>
      <c r="BZ30" s="1249"/>
      <c r="CA30" s="1249"/>
      <c r="CB30" s="1249"/>
      <c r="CC30" s="1249">
        <v>0</v>
      </c>
      <c r="CD30" s="1249">
        <v>0</v>
      </c>
      <c r="CE30" s="1249">
        <v>0</v>
      </c>
      <c r="CF30" s="1249"/>
      <c r="CG30" s="1333"/>
      <c r="CH30" s="1333"/>
      <c r="CI30" s="1333">
        <v>0</v>
      </c>
      <c r="CJ30" s="1333">
        <v>0</v>
      </c>
      <c r="CK30" s="1249">
        <v>229.2</v>
      </c>
      <c r="CL30" s="1249">
        <v>229.2</v>
      </c>
      <c r="CM30" s="1249">
        <v>0</v>
      </c>
      <c r="CN30" s="1370">
        <v>231.9</v>
      </c>
      <c r="CO30" s="1326"/>
      <c r="CP30" s="1326">
        <f t="shared" si="10"/>
        <v>-2.7000000000000171</v>
      </c>
      <c r="CQ30" s="1347">
        <v>10389.200000000001</v>
      </c>
      <c r="CR30" s="1248">
        <v>0</v>
      </c>
      <c r="CS30" s="1327">
        <f t="shared" si="11"/>
        <v>28911.1</v>
      </c>
      <c r="CT30" s="1327">
        <f t="shared" si="12"/>
        <v>28911.1</v>
      </c>
      <c r="CU30" s="1328">
        <f t="shared" si="12"/>
        <v>0</v>
      </c>
      <c r="CV30" s="1328">
        <f t="shared" si="13"/>
        <v>10443.57</v>
      </c>
      <c r="CW30" s="1249">
        <v>28723.999999999996</v>
      </c>
      <c r="CX30" s="1249">
        <v>28723.999999999996</v>
      </c>
      <c r="CY30" s="1249">
        <v>0</v>
      </c>
      <c r="CZ30" s="1234">
        <f t="shared" si="0"/>
        <v>108435.9</v>
      </c>
      <c r="DA30" s="2">
        <v>0</v>
      </c>
      <c r="DB30" s="2">
        <v>5567.4</v>
      </c>
      <c r="DC30" s="1329">
        <f t="shared" si="14"/>
        <v>6608.9</v>
      </c>
      <c r="DD30" s="1434">
        <f t="shared" si="15"/>
        <v>101827</v>
      </c>
      <c r="DE30" s="1324">
        <f t="shared" si="16"/>
        <v>132578.79999999999</v>
      </c>
      <c r="DF30" s="433">
        <v>20</v>
      </c>
      <c r="DG30" s="433">
        <v>0</v>
      </c>
      <c r="DH30" s="433">
        <v>4</v>
      </c>
      <c r="DI30" s="433">
        <f t="shared" si="17"/>
        <v>1577</v>
      </c>
      <c r="DJ30" s="1255">
        <v>1601</v>
      </c>
      <c r="DK30" s="1323">
        <f>ROUND((DF30*1353+'не смотреть Субвенции 2017'!DG30*723+'не смотреть Субвенции 2017'!DH30*2613*1.2+'не смотреть Субвенции 2017'!DI30*2613)/1000,1)</f>
        <v>4160.3</v>
      </c>
      <c r="DL30" s="1448">
        <f t="shared" si="18"/>
        <v>136739.09999999998</v>
      </c>
      <c r="DM30" s="1440">
        <v>3861.7319999999963</v>
      </c>
      <c r="DN30" s="1447">
        <f t="shared" si="19"/>
        <v>3309</v>
      </c>
      <c r="DO30" s="1439">
        <f t="shared" si="20"/>
        <v>140600.79999999999</v>
      </c>
      <c r="DP30" s="1448">
        <f t="shared" si="21"/>
        <v>140048100</v>
      </c>
      <c r="DQ30" s="761" t="e">
        <f>#REF!</f>
        <v>#REF!</v>
      </c>
      <c r="DR30" s="1236">
        <v>137852983.16999999</v>
      </c>
      <c r="DS30" s="1254">
        <f t="shared" si="22"/>
        <v>2195116.8300000131</v>
      </c>
      <c r="DT30" s="1450" t="e">
        <f t="shared" si="23"/>
        <v>#REF!</v>
      </c>
    </row>
    <row r="31" spans="1:124" s="1334" customFormat="1" ht="18.75">
      <c r="A31" s="1346" t="s">
        <v>250</v>
      </c>
      <c r="B31" s="1249">
        <v>1920</v>
      </c>
      <c r="C31" s="1249">
        <v>2034</v>
      </c>
      <c r="D31" s="1249">
        <v>53.3</v>
      </c>
      <c r="E31" s="1249">
        <v>55.5</v>
      </c>
      <c r="F31" s="1249">
        <v>0</v>
      </c>
      <c r="G31" s="1357">
        <v>55</v>
      </c>
      <c r="H31" s="1358">
        <v>0.5</v>
      </c>
      <c r="I31" s="1359">
        <f>'Смарт 2015'!$C$186+'Смарт 2015'!$C$190</f>
        <v>53.5</v>
      </c>
      <c r="J31" s="1359">
        <v>0.8</v>
      </c>
      <c r="K31" s="1310">
        <f t="shared" si="1"/>
        <v>22450</v>
      </c>
      <c r="L31" s="1310">
        <f>'Смарт 2015'!$D$186+'Смарт 2015'!$D$190</f>
        <v>22105.9</v>
      </c>
      <c r="M31" s="1310">
        <f>'Смарт 2015'!$J$186+'Смарт 2015'!$J$190</f>
        <v>344.1</v>
      </c>
      <c r="N31" s="1311">
        <f t="shared" si="2"/>
        <v>22940.799999999999</v>
      </c>
      <c r="O31" s="1311">
        <f t="shared" si="3"/>
        <v>22725.7</v>
      </c>
      <c r="P31" s="1311">
        <f>ROUND(M31/J31*H31,1)</f>
        <v>215.1</v>
      </c>
      <c r="Q31" s="1249">
        <v>22126.2</v>
      </c>
      <c r="R31" s="1249">
        <v>22740.9</v>
      </c>
      <c r="S31" s="1249">
        <v>0</v>
      </c>
      <c r="T31" s="1249">
        <v>243.70000000000005</v>
      </c>
      <c r="U31" s="1249">
        <v>11.1</v>
      </c>
      <c r="V31" s="1313">
        <v>244.2</v>
      </c>
      <c r="W31" s="1313">
        <v>10.9</v>
      </c>
      <c r="X31" s="1313">
        <v>0</v>
      </c>
      <c r="Y31" s="1313">
        <v>0</v>
      </c>
      <c r="Z31" s="1313">
        <v>244.2</v>
      </c>
      <c r="AA31" s="1313">
        <v>10.9</v>
      </c>
      <c r="AB31" s="1314">
        <f t="shared" si="4"/>
        <v>0.70000000000001705</v>
      </c>
      <c r="AC31" s="2">
        <v>244.9</v>
      </c>
      <c r="AD31" s="2">
        <v>11.1</v>
      </c>
      <c r="AE31" s="1316">
        <v>21624.6</v>
      </c>
      <c r="AF31" s="1317">
        <f t="shared" si="5"/>
        <v>65169.599999999999</v>
      </c>
      <c r="AG31" s="1318">
        <f t="shared" si="6"/>
        <v>63550.400000000001</v>
      </c>
      <c r="AH31" s="1318">
        <f t="shared" si="7"/>
        <v>1590</v>
      </c>
      <c r="AI31" s="1318">
        <f t="shared" si="24"/>
        <v>1619.2</v>
      </c>
      <c r="AJ31" s="1249">
        <v>60347.700000000004</v>
      </c>
      <c r="AK31" s="1249">
        <v>1590</v>
      </c>
      <c r="AL31" s="1249">
        <v>61837.3</v>
      </c>
      <c r="AM31" s="1249">
        <v>1590</v>
      </c>
      <c r="AN31" s="1249">
        <v>0</v>
      </c>
      <c r="AO31" s="1249">
        <v>0</v>
      </c>
      <c r="AP31" s="1313">
        <v>0</v>
      </c>
      <c r="AQ31" s="1313">
        <v>0</v>
      </c>
      <c r="AR31" s="1313">
        <v>6</v>
      </c>
      <c r="AS31" s="1313">
        <v>0</v>
      </c>
      <c r="AT31" s="1313">
        <v>0</v>
      </c>
      <c r="AU31" s="1313">
        <v>0</v>
      </c>
      <c r="AV31" s="1312">
        <v>6</v>
      </c>
      <c r="AW31" s="1312">
        <v>0</v>
      </c>
      <c r="AX31" s="1332">
        <v>6</v>
      </c>
      <c r="AY31" s="1332">
        <v>0</v>
      </c>
      <c r="AZ31" s="1320">
        <v>19640</v>
      </c>
      <c r="BA31" s="1321">
        <v>0</v>
      </c>
      <c r="BB31" s="1322">
        <f t="shared" si="8"/>
        <v>1414.1</v>
      </c>
      <c r="BC31" s="1323">
        <f t="shared" si="9"/>
        <v>1414.1</v>
      </c>
      <c r="BD31" s="1323">
        <f t="shared" si="26"/>
        <v>0</v>
      </c>
      <c r="BE31" s="1323"/>
      <c r="BF31" s="1323"/>
      <c r="BG31" s="1249">
        <v>0</v>
      </c>
      <c r="BH31" s="1249">
        <v>0</v>
      </c>
      <c r="BI31" s="1249">
        <v>1380.3</v>
      </c>
      <c r="BJ31" s="1249">
        <v>0</v>
      </c>
      <c r="BK31" s="1249">
        <v>0</v>
      </c>
      <c r="BL31" s="1249">
        <v>0</v>
      </c>
      <c r="BM31" s="1249">
        <v>0</v>
      </c>
      <c r="BN31" s="1249">
        <v>0</v>
      </c>
      <c r="BO31" s="1249">
        <v>0</v>
      </c>
      <c r="BP31" s="1249">
        <v>0</v>
      </c>
      <c r="BQ31" s="1249">
        <v>0</v>
      </c>
      <c r="BR31" s="1249">
        <v>0</v>
      </c>
      <c r="BS31" s="1249">
        <v>0</v>
      </c>
      <c r="BT31" s="1249">
        <v>0</v>
      </c>
      <c r="BU31" s="1333">
        <v>0</v>
      </c>
      <c r="BV31" s="1333">
        <v>0</v>
      </c>
      <c r="BW31" s="1333">
        <v>0</v>
      </c>
      <c r="BX31" s="1333">
        <v>0</v>
      </c>
      <c r="BY31" s="1249">
        <v>0</v>
      </c>
      <c r="BZ31" s="1249">
        <v>0</v>
      </c>
      <c r="CA31" s="1249">
        <v>1</v>
      </c>
      <c r="CB31" s="1249">
        <v>0</v>
      </c>
      <c r="CC31" s="1249">
        <v>0</v>
      </c>
      <c r="CD31" s="1249">
        <v>0</v>
      </c>
      <c r="CE31" s="1249">
        <v>0</v>
      </c>
      <c r="CF31" s="1249">
        <v>0</v>
      </c>
      <c r="CG31" s="1333">
        <v>188.5</v>
      </c>
      <c r="CH31" s="1333">
        <v>0</v>
      </c>
      <c r="CI31" s="1333">
        <v>0</v>
      </c>
      <c r="CJ31" s="1333">
        <v>0</v>
      </c>
      <c r="CK31" s="1249">
        <v>222.7</v>
      </c>
      <c r="CL31" s="1249">
        <v>244</v>
      </c>
      <c r="CM31" s="1249">
        <v>0</v>
      </c>
      <c r="CN31" s="1370">
        <v>227.6</v>
      </c>
      <c r="CO31" s="1370">
        <v>15.9</v>
      </c>
      <c r="CP31" s="1326">
        <f t="shared" si="10"/>
        <v>0.50000000000000533</v>
      </c>
      <c r="CQ31" s="1347">
        <v>9822.7000000000007</v>
      </c>
      <c r="CR31" s="1248">
        <f>ROUND('Смарт 2015'!$K$189,2)</f>
        <v>8983.81</v>
      </c>
      <c r="CS31" s="1327">
        <f t="shared" si="11"/>
        <v>28541.899999999998</v>
      </c>
      <c r="CT31" s="1327">
        <f t="shared" si="12"/>
        <v>26827.8</v>
      </c>
      <c r="CU31" s="1328">
        <f t="shared" si="12"/>
        <v>1714.1</v>
      </c>
      <c r="CV31" s="1328">
        <f t="shared" si="13"/>
        <v>10177.77</v>
      </c>
      <c r="CW31" s="1249">
        <v>26927</v>
      </c>
      <c r="CX31" s="1249">
        <v>29800.5</v>
      </c>
      <c r="CY31" s="1249">
        <v>0</v>
      </c>
      <c r="CZ31" s="1234">
        <f t="shared" si="0"/>
        <v>118254.90000000001</v>
      </c>
      <c r="DA31" s="2">
        <v>113.2</v>
      </c>
      <c r="DB31" s="2">
        <v>3190.5</v>
      </c>
      <c r="DC31" s="1329">
        <f t="shared" si="14"/>
        <v>3900.6</v>
      </c>
      <c r="DD31" s="1434">
        <f t="shared" si="15"/>
        <v>114354.3</v>
      </c>
      <c r="DE31" s="1324">
        <f t="shared" si="16"/>
        <v>148889.29999999999</v>
      </c>
      <c r="DF31" s="433">
        <v>90</v>
      </c>
      <c r="DG31" s="433">
        <v>0</v>
      </c>
      <c r="DH31" s="433">
        <v>0</v>
      </c>
      <c r="DI31" s="433">
        <f t="shared" si="17"/>
        <v>1944</v>
      </c>
      <c r="DJ31" s="1255">
        <v>2034</v>
      </c>
      <c r="DK31" s="1323">
        <f>ROUND((DF31*1353+'не смотреть Субвенции 2017'!DG31*723+'не смотреть Субвенции 2017'!DH31*2613*1.2+'не смотреть Субвенции 2017'!DI31*2613)/1000,1)</f>
        <v>5201.3999999999996</v>
      </c>
      <c r="DL31" s="1448">
        <f t="shared" si="18"/>
        <v>154090.69999999998</v>
      </c>
      <c r="DM31" s="1440">
        <v>3928.2000000000044</v>
      </c>
      <c r="DN31" s="1447">
        <f t="shared" si="19"/>
        <v>3266.8</v>
      </c>
      <c r="DO31" s="1439">
        <f t="shared" si="20"/>
        <v>158018.9</v>
      </c>
      <c r="DP31" s="1448">
        <f t="shared" si="21"/>
        <v>157357500</v>
      </c>
      <c r="DQ31" s="761" t="e">
        <f>#REF!</f>
        <v>#REF!</v>
      </c>
      <c r="DR31" s="1236">
        <v>157369352.88999999</v>
      </c>
      <c r="DS31" s="1254">
        <f t="shared" si="22"/>
        <v>-11852.889999985695</v>
      </c>
      <c r="DT31" s="1450" t="e">
        <f t="shared" si="23"/>
        <v>#REF!</v>
      </c>
    </row>
    <row r="32" spans="1:124" s="1334" customFormat="1" ht="30.75">
      <c r="A32" s="1306" t="s">
        <v>514</v>
      </c>
      <c r="B32" s="1248">
        <v>1342</v>
      </c>
      <c r="C32" s="1248">
        <v>1362</v>
      </c>
      <c r="D32" s="1307">
        <v>25</v>
      </c>
      <c r="E32" s="1307">
        <v>25</v>
      </c>
      <c r="F32" s="1307">
        <v>0</v>
      </c>
      <c r="G32" s="1308">
        <v>25</v>
      </c>
      <c r="H32" s="1309"/>
      <c r="I32" s="1310">
        <f>'Смарт 2015'!$C$192+'Смарт 2015'!$C$197</f>
        <v>22</v>
      </c>
      <c r="J32" s="1310"/>
      <c r="K32" s="1310">
        <f t="shared" si="1"/>
        <v>11744.6</v>
      </c>
      <c r="L32" s="1310">
        <f>'Смарт 2015'!$D$192+'Смарт 2015'!$D$196</f>
        <v>11744.6</v>
      </c>
      <c r="M32" s="1310">
        <f>'Смарт 2015'!$J$192+'Смарт 2015'!$J$196</f>
        <v>0</v>
      </c>
      <c r="N32" s="1311">
        <f t="shared" si="2"/>
        <v>13346.1</v>
      </c>
      <c r="O32" s="1311">
        <f t="shared" si="3"/>
        <v>13346.1</v>
      </c>
      <c r="P32" s="1311"/>
      <c r="Q32" s="1307">
        <v>11314.6</v>
      </c>
      <c r="R32" s="1307">
        <v>11314.6</v>
      </c>
      <c r="S32" s="1307">
        <v>0</v>
      </c>
      <c r="T32" s="1307">
        <v>162</v>
      </c>
      <c r="U32" s="1307">
        <v>7</v>
      </c>
      <c r="V32" s="1312">
        <v>162</v>
      </c>
      <c r="W32" s="1312">
        <v>7</v>
      </c>
      <c r="X32" s="1312">
        <v>0</v>
      </c>
      <c r="Y32" s="1312"/>
      <c r="Z32" s="1313">
        <v>162</v>
      </c>
      <c r="AA32" s="1313">
        <v>7</v>
      </c>
      <c r="AB32" s="1314">
        <f t="shared" si="4"/>
        <v>1</v>
      </c>
      <c r="AC32" s="23">
        <v>163</v>
      </c>
      <c r="AD32" s="23">
        <v>7</v>
      </c>
      <c r="AE32" s="1316">
        <v>23296.9</v>
      </c>
      <c r="AF32" s="1317">
        <f t="shared" si="5"/>
        <v>46808.7</v>
      </c>
      <c r="AG32" s="1318">
        <f t="shared" si="6"/>
        <v>45568.7</v>
      </c>
      <c r="AH32" s="1318">
        <f t="shared" si="7"/>
        <v>1240</v>
      </c>
      <c r="AI32" s="1318">
        <f t="shared" si="24"/>
        <v>1240</v>
      </c>
      <c r="AJ32" s="1307">
        <v>42165.9</v>
      </c>
      <c r="AK32" s="1307">
        <v>1240</v>
      </c>
      <c r="AL32" s="1307">
        <v>42165.9</v>
      </c>
      <c r="AM32" s="1307">
        <v>1240</v>
      </c>
      <c r="AN32" s="1307">
        <v>0</v>
      </c>
      <c r="AO32" s="1307"/>
      <c r="AP32" s="1312">
        <v>0</v>
      </c>
      <c r="AQ32" s="1312"/>
      <c r="AR32" s="1312">
        <v>0</v>
      </c>
      <c r="AS32" s="1312"/>
      <c r="AT32" s="1312">
        <v>0</v>
      </c>
      <c r="AU32" s="1312"/>
      <c r="AV32" s="1312">
        <v>0</v>
      </c>
      <c r="AW32" s="1312">
        <v>0</v>
      </c>
      <c r="AX32" s="1371"/>
      <c r="AY32" s="1372"/>
      <c r="AZ32" s="1320">
        <v>22299.8</v>
      </c>
      <c r="BA32" s="1321">
        <v>0</v>
      </c>
      <c r="BB32" s="1322">
        <f t="shared" si="8"/>
        <v>0</v>
      </c>
      <c r="BC32" s="1323">
        <f t="shared" si="9"/>
        <v>0</v>
      </c>
      <c r="BD32" s="1323">
        <f t="shared" si="26"/>
        <v>0</v>
      </c>
      <c r="BE32" s="1323"/>
      <c r="BF32" s="1323"/>
      <c r="BG32" s="1307">
        <v>0</v>
      </c>
      <c r="BH32" s="1307"/>
      <c r="BI32" s="1307">
        <v>0</v>
      </c>
      <c r="BJ32" s="1307"/>
      <c r="BK32" s="1307">
        <v>0</v>
      </c>
      <c r="BL32" s="1307"/>
      <c r="BM32" s="1307">
        <v>0</v>
      </c>
      <c r="BN32" s="1307"/>
      <c r="BO32" s="1307">
        <v>0</v>
      </c>
      <c r="BP32" s="1307"/>
      <c r="BQ32" s="1307">
        <v>0</v>
      </c>
      <c r="BR32" s="1307"/>
      <c r="BS32" s="1307">
        <v>0</v>
      </c>
      <c r="BT32" s="1307"/>
      <c r="BU32" s="1323">
        <v>0</v>
      </c>
      <c r="BV32" s="1323"/>
      <c r="BW32" s="1323">
        <v>0</v>
      </c>
      <c r="BX32" s="1323"/>
      <c r="BY32" s="1307">
        <v>2</v>
      </c>
      <c r="BZ32" s="1307"/>
      <c r="CA32" s="1307"/>
      <c r="CB32" s="1307"/>
      <c r="CC32" s="1307">
        <v>0</v>
      </c>
      <c r="CD32" s="1307">
        <v>0</v>
      </c>
      <c r="CE32" s="1307">
        <v>392</v>
      </c>
      <c r="CF32" s="1307">
        <v>0</v>
      </c>
      <c r="CG32" s="1323">
        <v>392</v>
      </c>
      <c r="CH32" s="1323">
        <v>0</v>
      </c>
      <c r="CI32" s="1323">
        <v>0</v>
      </c>
      <c r="CJ32" s="1323">
        <v>0</v>
      </c>
      <c r="CK32" s="1307">
        <v>148</v>
      </c>
      <c r="CL32" s="1307">
        <v>148</v>
      </c>
      <c r="CM32" s="1307">
        <v>0</v>
      </c>
      <c r="CN32" s="1335">
        <v>139</v>
      </c>
      <c r="CO32" s="1335">
        <v>18</v>
      </c>
      <c r="CP32" s="1326">
        <f t="shared" si="10"/>
        <v>-9</v>
      </c>
      <c r="CQ32" s="1369">
        <v>7341.5</v>
      </c>
      <c r="CR32" s="1248">
        <f>ROUND('Смарт 2015'!$K$195,2)</f>
        <v>6040.74</v>
      </c>
      <c r="CS32" s="1327">
        <f t="shared" si="11"/>
        <v>13550.4</v>
      </c>
      <c r="CT32" s="1327">
        <f t="shared" si="12"/>
        <v>12245.6</v>
      </c>
      <c r="CU32" s="1328">
        <f t="shared" si="12"/>
        <v>1304.8</v>
      </c>
      <c r="CV32" s="1328">
        <f t="shared" si="13"/>
        <v>8522.58</v>
      </c>
      <c r="CW32" s="1307">
        <v>15136.1</v>
      </c>
      <c r="CX32" s="1307">
        <v>15136.1</v>
      </c>
      <c r="CY32" s="1307">
        <v>0</v>
      </c>
      <c r="CZ32" s="1234">
        <f t="shared" si="0"/>
        <v>74097.2</v>
      </c>
      <c r="DA32" s="2">
        <v>0</v>
      </c>
      <c r="DB32" s="2">
        <v>3905.1</v>
      </c>
      <c r="DC32" s="1329">
        <f t="shared" si="14"/>
        <v>4635.6000000000004</v>
      </c>
      <c r="DD32" s="1434">
        <f t="shared" si="15"/>
        <v>69461.599999999991</v>
      </c>
      <c r="DE32" s="1324">
        <f t="shared" si="16"/>
        <v>90439</v>
      </c>
      <c r="DF32" s="433">
        <v>0</v>
      </c>
      <c r="DG32" s="433">
        <v>0</v>
      </c>
      <c r="DH32" s="433">
        <v>18</v>
      </c>
      <c r="DI32" s="433">
        <f t="shared" si="17"/>
        <v>1344</v>
      </c>
      <c r="DJ32" s="1255">
        <v>1362</v>
      </c>
      <c r="DK32" s="1323">
        <f>ROUND((DF32*1353+'не смотреть Субвенции 2017'!DG32*723+'не смотреть Субвенции 2017'!DH32*2613*1.2+'не смотреть Субвенции 2017'!DI32*2613)/1000,1)</f>
        <v>3568.3</v>
      </c>
      <c r="DL32" s="1448">
        <f t="shared" si="18"/>
        <v>94007.3</v>
      </c>
      <c r="DM32" s="1440">
        <v>2882</v>
      </c>
      <c r="DN32" s="1447">
        <f t="shared" si="19"/>
        <v>1550.9</v>
      </c>
      <c r="DO32" s="1439">
        <f t="shared" si="20"/>
        <v>96889.3</v>
      </c>
      <c r="DP32" s="1448">
        <f t="shared" si="21"/>
        <v>95558200</v>
      </c>
      <c r="DQ32" s="761" t="e">
        <f>#REF!</f>
        <v>#REF!</v>
      </c>
      <c r="DR32" s="1236">
        <v>95052889.950000003</v>
      </c>
      <c r="DS32" s="1254">
        <f t="shared" si="22"/>
        <v>505310.04999999702</v>
      </c>
      <c r="DT32" s="1450" t="e">
        <f t="shared" si="23"/>
        <v>#REF!</v>
      </c>
    </row>
    <row r="33" spans="1:124" s="1334" customFormat="1" ht="18.75">
      <c r="A33" s="1346" t="s">
        <v>267</v>
      </c>
      <c r="B33" s="1249">
        <v>836</v>
      </c>
      <c r="C33" s="1249">
        <v>855</v>
      </c>
      <c r="D33" s="1249">
        <v>19.5</v>
      </c>
      <c r="E33" s="1249">
        <v>20</v>
      </c>
      <c r="F33" s="1249">
        <v>0</v>
      </c>
      <c r="G33" s="1308">
        <v>20</v>
      </c>
      <c r="H33" s="1309"/>
      <c r="I33" s="1310">
        <f>'Смарт 2015'!$C$199+'Смарт 2015'!$C$204</f>
        <v>17.100000000000001</v>
      </c>
      <c r="J33" s="1310"/>
      <c r="K33" s="1310">
        <f t="shared" si="1"/>
        <v>8181.2999999999993</v>
      </c>
      <c r="L33" s="1310">
        <f>'Смарт 2015'!$D$199+'Смарт 2015'!$D$204</f>
        <v>8181.2999999999993</v>
      </c>
      <c r="M33" s="1310">
        <f>'Смарт 2015'!$J$199+'Смарт 2015'!$J$204</f>
        <v>0</v>
      </c>
      <c r="N33" s="1311">
        <f t="shared" si="2"/>
        <v>9568.7999999999993</v>
      </c>
      <c r="O33" s="1311">
        <f t="shared" si="3"/>
        <v>9568.7999999999993</v>
      </c>
      <c r="P33" s="1311"/>
      <c r="Q33" s="1249">
        <v>10217</v>
      </c>
      <c r="R33" s="1249">
        <v>9600</v>
      </c>
      <c r="S33" s="1249">
        <v>0</v>
      </c>
      <c r="T33" s="1249">
        <v>102.8</v>
      </c>
      <c r="U33" s="1249">
        <v>6.1999999999999993</v>
      </c>
      <c r="V33" s="1313">
        <v>105.5</v>
      </c>
      <c r="W33" s="1313">
        <v>3.6999999999999997</v>
      </c>
      <c r="X33" s="1313">
        <v>0</v>
      </c>
      <c r="Y33" s="1313">
        <v>0</v>
      </c>
      <c r="Z33" s="1313">
        <v>105.5</v>
      </c>
      <c r="AA33" s="1313">
        <v>3.6999999999999997</v>
      </c>
      <c r="AB33" s="1314">
        <f t="shared" si="4"/>
        <v>-2.5999999999999943</v>
      </c>
      <c r="AC33" s="2">
        <v>102.9</v>
      </c>
      <c r="AD33" s="2">
        <v>6.3</v>
      </c>
      <c r="AE33" s="1316">
        <v>23272.7</v>
      </c>
      <c r="AF33" s="1317">
        <f t="shared" si="5"/>
        <v>29833.599999999999</v>
      </c>
      <c r="AG33" s="1318">
        <f t="shared" si="6"/>
        <v>28737.1</v>
      </c>
      <c r="AH33" s="1318">
        <f t="shared" si="7"/>
        <v>644</v>
      </c>
      <c r="AI33" s="1318">
        <f t="shared" si="24"/>
        <v>1096.5</v>
      </c>
      <c r="AJ33" s="1249">
        <v>26494.9</v>
      </c>
      <c r="AK33" s="1249">
        <v>1070</v>
      </c>
      <c r="AL33" s="1249">
        <v>31113.7</v>
      </c>
      <c r="AM33" s="1249">
        <v>644</v>
      </c>
      <c r="AN33" s="1249">
        <v>0</v>
      </c>
      <c r="AO33" s="1249">
        <v>0</v>
      </c>
      <c r="AP33" s="1313">
        <v>2.5</v>
      </c>
      <c r="AQ33" s="1313">
        <v>0</v>
      </c>
      <c r="AR33" s="1313">
        <v>4.2</v>
      </c>
      <c r="AS33" s="1313">
        <v>0</v>
      </c>
      <c r="AT33" s="1313">
        <v>0</v>
      </c>
      <c r="AU33" s="1313">
        <v>0</v>
      </c>
      <c r="AV33" s="1312">
        <v>4.2</v>
      </c>
      <c r="AW33" s="1312">
        <v>0</v>
      </c>
      <c r="AX33" s="1332">
        <v>7</v>
      </c>
      <c r="AY33" s="1332">
        <v>0</v>
      </c>
      <c r="AZ33" s="1320">
        <v>20782.5</v>
      </c>
      <c r="BA33" s="1321">
        <v>18333.3</v>
      </c>
      <c r="BB33" s="1322">
        <f t="shared" si="8"/>
        <v>1745.7</v>
      </c>
      <c r="BC33" s="1323">
        <f t="shared" si="9"/>
        <v>1745.7</v>
      </c>
      <c r="BD33" s="1323">
        <f t="shared" si="26"/>
        <v>0</v>
      </c>
      <c r="BE33" s="1323"/>
      <c r="BF33" s="1323"/>
      <c r="BG33" s="1249">
        <v>763</v>
      </c>
      <c r="BH33" s="1249">
        <v>0</v>
      </c>
      <c r="BI33" s="1249">
        <v>683</v>
      </c>
      <c r="BJ33" s="1249">
        <v>0</v>
      </c>
      <c r="BK33" s="1249">
        <v>0</v>
      </c>
      <c r="BL33" s="1249">
        <v>0</v>
      </c>
      <c r="BM33" s="1249">
        <v>0</v>
      </c>
      <c r="BN33" s="1249">
        <v>0</v>
      </c>
      <c r="BO33" s="1249">
        <v>0</v>
      </c>
      <c r="BP33" s="1249">
        <v>0</v>
      </c>
      <c r="BQ33" s="1249">
        <v>0</v>
      </c>
      <c r="BR33" s="1249">
        <v>0</v>
      </c>
      <c r="BS33" s="1249">
        <v>0</v>
      </c>
      <c r="BT33" s="1249">
        <v>0</v>
      </c>
      <c r="BU33" s="1333">
        <v>0</v>
      </c>
      <c r="BV33" s="1333">
        <v>0</v>
      </c>
      <c r="BW33" s="1333">
        <v>0</v>
      </c>
      <c r="BX33" s="1333">
        <v>0</v>
      </c>
      <c r="BY33" s="1249">
        <v>0</v>
      </c>
      <c r="BZ33" s="1249">
        <v>0</v>
      </c>
      <c r="CA33" s="1249">
        <v>0</v>
      </c>
      <c r="CB33" s="1249">
        <v>0</v>
      </c>
      <c r="CC33" s="1249">
        <v>0</v>
      </c>
      <c r="CD33" s="1249">
        <v>0</v>
      </c>
      <c r="CE33" s="1249">
        <v>0</v>
      </c>
      <c r="CF33" s="1249">
        <v>0</v>
      </c>
      <c r="CG33" s="1333">
        <v>0</v>
      </c>
      <c r="CH33" s="1333">
        <v>0</v>
      </c>
      <c r="CI33" s="1333">
        <v>0</v>
      </c>
      <c r="CJ33" s="1333">
        <v>0</v>
      </c>
      <c r="CK33" s="1249">
        <v>91.7</v>
      </c>
      <c r="CL33" s="1249">
        <v>94.2</v>
      </c>
      <c r="CM33" s="1249">
        <v>0</v>
      </c>
      <c r="CN33" s="1325">
        <v>96.5</v>
      </c>
      <c r="CO33" s="1325">
        <v>6.6</v>
      </c>
      <c r="CP33" s="1326">
        <f t="shared" si="10"/>
        <v>-8.8999999999999968</v>
      </c>
      <c r="CQ33" s="1347">
        <v>9645.7999999999993</v>
      </c>
      <c r="CR33" s="1248">
        <f>ROUND('Смарт 2015'!$K$203,2)</f>
        <v>6728.26</v>
      </c>
      <c r="CS33" s="1327">
        <f t="shared" si="11"/>
        <v>11702.699999999999</v>
      </c>
      <c r="CT33" s="1327">
        <f t="shared" si="12"/>
        <v>11169.8</v>
      </c>
      <c r="CU33" s="1328">
        <f t="shared" si="12"/>
        <v>532.9</v>
      </c>
      <c r="CV33" s="1328">
        <f t="shared" si="13"/>
        <v>9894.9</v>
      </c>
      <c r="CW33" s="1249">
        <v>10947.900000000001</v>
      </c>
      <c r="CX33" s="1249">
        <v>11185.2</v>
      </c>
      <c r="CY33" s="1249">
        <v>0</v>
      </c>
      <c r="CZ33" s="1234">
        <f t="shared" si="0"/>
        <v>52850.8</v>
      </c>
      <c r="DA33" s="2">
        <v>0</v>
      </c>
      <c r="DB33" s="2">
        <v>2730.8</v>
      </c>
      <c r="DC33" s="1329">
        <f t="shared" si="14"/>
        <v>3241.7</v>
      </c>
      <c r="DD33" s="1434">
        <f t="shared" si="15"/>
        <v>49609.100000000006</v>
      </c>
      <c r="DE33" s="1324">
        <f t="shared" si="16"/>
        <v>64591</v>
      </c>
      <c r="DF33" s="433">
        <v>0</v>
      </c>
      <c r="DG33" s="433">
        <v>0</v>
      </c>
      <c r="DH33" s="433">
        <v>4</v>
      </c>
      <c r="DI33" s="433">
        <f t="shared" si="17"/>
        <v>922</v>
      </c>
      <c r="DJ33" s="1255">
        <v>926</v>
      </c>
      <c r="DK33" s="1323">
        <f>ROUND((DF33*1353+'не смотреть Субвенции 2017'!DG33*723+'не смотреть Субвенции 2017'!DH33*2613*1.2+'не смотреть Субвенции 2017'!DI33*2613)/1000,1)</f>
        <v>2421.6999999999998</v>
      </c>
      <c r="DL33" s="1448">
        <f t="shared" si="18"/>
        <v>67012.7</v>
      </c>
      <c r="DM33" s="1440">
        <v>2328</v>
      </c>
      <c r="DN33" s="1447">
        <f t="shared" si="19"/>
        <v>1339.4</v>
      </c>
      <c r="DO33" s="1439">
        <f t="shared" si="20"/>
        <v>69340.7</v>
      </c>
      <c r="DP33" s="1448">
        <f t="shared" si="21"/>
        <v>68352100</v>
      </c>
      <c r="DQ33" s="761" t="e">
        <f>#REF!</f>
        <v>#REF!</v>
      </c>
      <c r="DR33" s="1236">
        <v>65470485.640000001</v>
      </c>
      <c r="DS33" s="1254">
        <f t="shared" si="22"/>
        <v>2881614.3599999994</v>
      </c>
      <c r="DT33" s="1450" t="e">
        <f t="shared" si="23"/>
        <v>#REF!</v>
      </c>
    </row>
    <row r="34" spans="1:124" s="1334" customFormat="1" ht="18.75">
      <c r="A34" s="1346" t="s">
        <v>273</v>
      </c>
      <c r="B34" s="1249">
        <v>658</v>
      </c>
      <c r="C34" s="1249">
        <v>658</v>
      </c>
      <c r="D34" s="1249">
        <v>12</v>
      </c>
      <c r="E34" s="1249">
        <v>12</v>
      </c>
      <c r="F34" s="1249">
        <v>0</v>
      </c>
      <c r="G34" s="1308">
        <v>12</v>
      </c>
      <c r="H34" s="1309">
        <v>0</v>
      </c>
      <c r="I34" s="1310">
        <f>'Смарт 2015'!$C$206+'Смарт 2015'!$C$211</f>
        <v>12.6</v>
      </c>
      <c r="J34" s="1310"/>
      <c r="K34" s="1310">
        <f t="shared" si="1"/>
        <v>5921.1</v>
      </c>
      <c r="L34" s="1310">
        <f>'Смарт 2015'!$D$206+'Смарт 2015'!$D$211</f>
        <v>5921.1</v>
      </c>
      <c r="M34" s="1310">
        <f>'Смарт 2015'!$J$206+'Смарт 2015'!$J$211</f>
        <v>0</v>
      </c>
      <c r="N34" s="1311">
        <f t="shared" si="2"/>
        <v>5639.1</v>
      </c>
      <c r="O34" s="1311">
        <f t="shared" si="3"/>
        <v>5639.1</v>
      </c>
      <c r="P34" s="1311"/>
      <c r="Q34" s="1249">
        <v>5853.3</v>
      </c>
      <c r="R34" s="1249">
        <v>5853.3</v>
      </c>
      <c r="S34" s="1249">
        <v>0</v>
      </c>
      <c r="T34" s="1249">
        <v>71</v>
      </c>
      <c r="U34" s="1249">
        <v>9.6999999999999993</v>
      </c>
      <c r="V34" s="1313">
        <v>71</v>
      </c>
      <c r="W34" s="1313">
        <v>9.6999999999999993</v>
      </c>
      <c r="X34" s="1313">
        <v>0</v>
      </c>
      <c r="Y34" s="1313">
        <v>0</v>
      </c>
      <c r="Z34" s="1313">
        <v>71</v>
      </c>
      <c r="AA34" s="1313">
        <v>9.6999999999999993</v>
      </c>
      <c r="AB34" s="1314">
        <f t="shared" si="4"/>
        <v>0</v>
      </c>
      <c r="AC34" s="2">
        <v>71</v>
      </c>
      <c r="AD34" s="2">
        <v>9.6999999999999993</v>
      </c>
      <c r="AE34" s="1316">
        <v>23352.3</v>
      </c>
      <c r="AF34" s="1317">
        <f t="shared" si="5"/>
        <v>22156.2</v>
      </c>
      <c r="AG34" s="1318">
        <f t="shared" si="6"/>
        <v>19896.2</v>
      </c>
      <c r="AH34" s="1318">
        <f t="shared" si="7"/>
        <v>2260</v>
      </c>
      <c r="AI34" s="1318">
        <f t="shared" si="24"/>
        <v>2260</v>
      </c>
      <c r="AJ34" s="1249">
        <v>18994.2</v>
      </c>
      <c r="AK34" s="1249">
        <v>2260</v>
      </c>
      <c r="AL34" s="1249">
        <v>18994.2</v>
      </c>
      <c r="AM34" s="1249">
        <v>2260</v>
      </c>
      <c r="AN34" s="1249">
        <v>0</v>
      </c>
      <c r="AO34" s="1249">
        <v>0</v>
      </c>
      <c r="AP34" s="1313">
        <v>1</v>
      </c>
      <c r="AQ34" s="1313">
        <v>0</v>
      </c>
      <c r="AR34" s="1313">
        <v>1</v>
      </c>
      <c r="AS34" s="1313">
        <v>0</v>
      </c>
      <c r="AT34" s="1313">
        <v>0</v>
      </c>
      <c r="AU34" s="1313">
        <v>0</v>
      </c>
      <c r="AV34" s="1312">
        <v>1</v>
      </c>
      <c r="AW34" s="1312">
        <v>0</v>
      </c>
      <c r="AX34" s="1345">
        <v>1</v>
      </c>
      <c r="AY34" s="1345">
        <v>0</v>
      </c>
      <c r="AZ34" s="1320">
        <v>19209.7</v>
      </c>
      <c r="BA34" s="1321">
        <v>16208.3</v>
      </c>
      <c r="BB34" s="1322">
        <f t="shared" si="8"/>
        <v>230.5</v>
      </c>
      <c r="BC34" s="1323">
        <f t="shared" si="9"/>
        <v>230.5</v>
      </c>
      <c r="BD34" s="1323">
        <f t="shared" si="26"/>
        <v>0</v>
      </c>
      <c r="BE34" s="1323"/>
      <c r="BF34" s="1323"/>
      <c r="BG34" s="1249">
        <v>213.6</v>
      </c>
      <c r="BH34" s="1249">
        <v>0</v>
      </c>
      <c r="BI34" s="1249">
        <v>213.6</v>
      </c>
      <c r="BJ34" s="1249">
        <v>0</v>
      </c>
      <c r="BK34" s="1249">
        <v>0</v>
      </c>
      <c r="BL34" s="1249">
        <v>0</v>
      </c>
      <c r="BM34" s="1249">
        <v>0</v>
      </c>
      <c r="BN34" s="1249">
        <v>0</v>
      </c>
      <c r="BO34" s="1249">
        <v>0</v>
      </c>
      <c r="BP34" s="1249">
        <v>0</v>
      </c>
      <c r="BQ34" s="1249">
        <v>0</v>
      </c>
      <c r="BR34" s="1249">
        <v>0</v>
      </c>
      <c r="BS34" s="1249">
        <v>0</v>
      </c>
      <c r="BT34" s="1249">
        <v>0</v>
      </c>
      <c r="BU34" s="1333">
        <v>0</v>
      </c>
      <c r="BV34" s="1333">
        <v>0</v>
      </c>
      <c r="BW34" s="1333">
        <v>0</v>
      </c>
      <c r="BX34" s="1333">
        <v>0</v>
      </c>
      <c r="BY34" s="1249">
        <v>0</v>
      </c>
      <c r="BZ34" s="1249">
        <v>0</v>
      </c>
      <c r="CA34" s="1249">
        <v>0</v>
      </c>
      <c r="CB34" s="1249">
        <v>0</v>
      </c>
      <c r="CC34" s="1249">
        <v>0</v>
      </c>
      <c r="CD34" s="1249">
        <v>0</v>
      </c>
      <c r="CE34" s="1249">
        <v>0</v>
      </c>
      <c r="CF34" s="1249">
        <v>0</v>
      </c>
      <c r="CG34" s="1333">
        <v>0</v>
      </c>
      <c r="CH34" s="1333">
        <v>0</v>
      </c>
      <c r="CI34" s="1333">
        <v>0</v>
      </c>
      <c r="CJ34" s="1333">
        <v>0</v>
      </c>
      <c r="CK34" s="1249">
        <v>69.3</v>
      </c>
      <c r="CL34" s="1249">
        <v>69.3</v>
      </c>
      <c r="CM34" s="1249">
        <v>0</v>
      </c>
      <c r="CN34" s="1326">
        <v>67</v>
      </c>
      <c r="CO34" s="1326">
        <v>4</v>
      </c>
      <c r="CP34" s="1326">
        <f t="shared" si="10"/>
        <v>-1.7000000000000028</v>
      </c>
      <c r="CQ34" s="1347">
        <v>10383.5</v>
      </c>
      <c r="CR34" s="1248">
        <f>ROUND('Смарт 2015'!$K$210,2)</f>
        <v>8220</v>
      </c>
      <c r="CS34" s="1327">
        <f t="shared" si="11"/>
        <v>8742.9</v>
      </c>
      <c r="CT34" s="1327">
        <f t="shared" si="12"/>
        <v>8348.2999999999993</v>
      </c>
      <c r="CU34" s="1328">
        <f t="shared" si="12"/>
        <v>394.6</v>
      </c>
      <c r="CV34" s="1328">
        <f t="shared" si="13"/>
        <v>10648.03</v>
      </c>
      <c r="CW34" s="1249">
        <v>8854.9</v>
      </c>
      <c r="CX34" s="1249">
        <v>8854.9</v>
      </c>
      <c r="CY34" s="1249">
        <v>0</v>
      </c>
      <c r="CZ34" s="1234">
        <f t="shared" si="0"/>
        <v>36768.699999999997</v>
      </c>
      <c r="DA34" s="2">
        <v>0</v>
      </c>
      <c r="DB34" s="2">
        <v>1489.8</v>
      </c>
      <c r="DC34" s="1329">
        <f t="shared" si="14"/>
        <v>1768.5</v>
      </c>
      <c r="DD34" s="1434">
        <f t="shared" si="15"/>
        <v>35000.199999999997</v>
      </c>
      <c r="DE34" s="1324">
        <f t="shared" si="16"/>
        <v>45570.3</v>
      </c>
      <c r="DF34" s="433">
        <v>0</v>
      </c>
      <c r="DG34" s="433">
        <v>0</v>
      </c>
      <c r="DH34" s="433">
        <v>2</v>
      </c>
      <c r="DI34" s="433">
        <f t="shared" si="17"/>
        <v>656</v>
      </c>
      <c r="DJ34" s="1255">
        <v>658</v>
      </c>
      <c r="DK34" s="1323">
        <f>ROUND((DF34*1353+'не смотреть Субвенции 2017'!DG34*723+'не смотреть Субвенции 2017'!DH34*2613*1.2+'не смотреть Субвенции 2017'!DI34*2613)/1000,1)</f>
        <v>1720.4</v>
      </c>
      <c r="DL34" s="1448">
        <f t="shared" si="18"/>
        <v>47290.700000000004</v>
      </c>
      <c r="DM34" s="1440">
        <v>728</v>
      </c>
      <c r="DN34" s="1447">
        <f t="shared" si="19"/>
        <v>1000.7</v>
      </c>
      <c r="DO34" s="1439">
        <f t="shared" si="20"/>
        <v>48018.7</v>
      </c>
      <c r="DP34" s="1448">
        <f t="shared" si="21"/>
        <v>48291400</v>
      </c>
      <c r="DQ34" s="761" t="e">
        <f>#REF!</f>
        <v>#REF!</v>
      </c>
      <c r="DR34" s="1236">
        <v>48945232.909999996</v>
      </c>
      <c r="DS34" s="1254">
        <f t="shared" si="22"/>
        <v>-653832.90999999642</v>
      </c>
      <c r="DT34" s="1450" t="e">
        <f t="shared" si="23"/>
        <v>#REF!</v>
      </c>
    </row>
    <row r="35" spans="1:124" s="1377" customFormat="1" ht="18.75">
      <c r="A35" s="1373" t="s">
        <v>278</v>
      </c>
      <c r="B35" s="1374">
        <v>1694</v>
      </c>
      <c r="C35" s="1374">
        <v>1668</v>
      </c>
      <c r="D35" s="1374">
        <v>27</v>
      </c>
      <c r="E35" s="1374">
        <v>25</v>
      </c>
      <c r="F35" s="1374">
        <v>0</v>
      </c>
      <c r="G35" s="1308">
        <v>24</v>
      </c>
      <c r="H35" s="1309">
        <v>0</v>
      </c>
      <c r="I35" s="1310">
        <f>'Смарт 2015'!$C$213+'Смарт 2015'!$C$218</f>
        <v>25</v>
      </c>
      <c r="J35" s="1310"/>
      <c r="K35" s="1310">
        <f t="shared" si="1"/>
        <v>10588.9</v>
      </c>
      <c r="L35" s="1310">
        <f>'Смарт 2015'!$D$213+'Смарт 2015'!$D$218</f>
        <v>10588.9</v>
      </c>
      <c r="M35" s="1310">
        <f>'Смарт 2015'!$J$220+'Смарт 2015'!$J$226</f>
        <v>0</v>
      </c>
      <c r="N35" s="1311">
        <f t="shared" si="2"/>
        <v>10165.299999999999</v>
      </c>
      <c r="O35" s="1311">
        <f t="shared" si="3"/>
        <v>10165.299999999999</v>
      </c>
      <c r="P35" s="1311"/>
      <c r="Q35" s="1374">
        <v>11220.1</v>
      </c>
      <c r="R35" s="1374">
        <v>10835.400000000001</v>
      </c>
      <c r="S35" s="1374">
        <v>0</v>
      </c>
      <c r="T35" s="1374">
        <v>200.8</v>
      </c>
      <c r="U35" s="1374">
        <v>0</v>
      </c>
      <c r="V35" s="1375">
        <v>200.4</v>
      </c>
      <c r="W35" s="1375">
        <v>0</v>
      </c>
      <c r="X35" s="1375">
        <v>0</v>
      </c>
      <c r="Y35" s="1375">
        <v>0</v>
      </c>
      <c r="Z35" s="1313">
        <v>200.4</v>
      </c>
      <c r="AA35" s="1313">
        <v>0</v>
      </c>
      <c r="AB35" s="1314">
        <f t="shared" si="4"/>
        <v>-2.4000000000000057</v>
      </c>
      <c r="AC35" s="2">
        <v>198</v>
      </c>
      <c r="AD35" s="2">
        <v>0</v>
      </c>
      <c r="AE35" s="1316">
        <v>21505.1</v>
      </c>
      <c r="AF35" s="1317">
        <f t="shared" si="5"/>
        <v>51096.1</v>
      </c>
      <c r="AG35" s="1318">
        <f t="shared" si="6"/>
        <v>51096.1</v>
      </c>
      <c r="AH35" s="1318">
        <f t="shared" si="7"/>
        <v>0</v>
      </c>
      <c r="AI35" s="1318"/>
      <c r="AJ35" s="1374">
        <v>50383.9</v>
      </c>
      <c r="AK35" s="1374">
        <v>0</v>
      </c>
      <c r="AL35" s="1374">
        <v>49871.1</v>
      </c>
      <c r="AM35" s="1374">
        <v>0</v>
      </c>
      <c r="AN35" s="1374">
        <v>0</v>
      </c>
      <c r="AO35" s="1374">
        <v>0</v>
      </c>
      <c r="AP35" s="1375">
        <v>3</v>
      </c>
      <c r="AQ35" s="1375">
        <v>0</v>
      </c>
      <c r="AR35" s="1375">
        <v>3</v>
      </c>
      <c r="AS35" s="1375">
        <v>0</v>
      </c>
      <c r="AT35" s="1375">
        <v>0</v>
      </c>
      <c r="AU35" s="1375">
        <v>0</v>
      </c>
      <c r="AV35" s="1312">
        <v>3</v>
      </c>
      <c r="AW35" s="1312">
        <v>0</v>
      </c>
      <c r="AX35" s="1345">
        <v>3</v>
      </c>
      <c r="AY35" s="1345">
        <v>0</v>
      </c>
      <c r="AZ35" s="1320">
        <v>19976.8</v>
      </c>
      <c r="BA35" s="1321">
        <v>18098.5</v>
      </c>
      <c r="BB35" s="1322">
        <f t="shared" si="8"/>
        <v>719.2</v>
      </c>
      <c r="BC35" s="1323">
        <f t="shared" si="9"/>
        <v>719.2</v>
      </c>
      <c r="BD35" s="1323">
        <f t="shared" si="26"/>
        <v>0</v>
      </c>
      <c r="BE35" s="1323"/>
      <c r="BF35" s="1323"/>
      <c r="BG35" s="1374">
        <v>651.59999999999991</v>
      </c>
      <c r="BH35" s="1374">
        <v>0</v>
      </c>
      <c r="BI35" s="1374">
        <v>651.59999999999991</v>
      </c>
      <c r="BJ35" s="1374">
        <v>0</v>
      </c>
      <c r="BK35" s="1374">
        <v>0</v>
      </c>
      <c r="BL35" s="1374">
        <v>0</v>
      </c>
      <c r="BM35" s="1374">
        <v>0</v>
      </c>
      <c r="BN35" s="1374">
        <v>0</v>
      </c>
      <c r="BO35" s="1374">
        <v>0</v>
      </c>
      <c r="BP35" s="1374">
        <v>0</v>
      </c>
      <c r="BQ35" s="1374">
        <v>0</v>
      </c>
      <c r="BR35" s="1374">
        <v>0</v>
      </c>
      <c r="BS35" s="1374">
        <v>0</v>
      </c>
      <c r="BT35" s="1374">
        <v>0</v>
      </c>
      <c r="BU35" s="1376">
        <v>0</v>
      </c>
      <c r="BV35" s="1376">
        <v>0</v>
      </c>
      <c r="BW35" s="1376">
        <v>0</v>
      </c>
      <c r="BX35" s="1376">
        <v>0</v>
      </c>
      <c r="BY35" s="1374">
        <v>0</v>
      </c>
      <c r="BZ35" s="1374">
        <v>0</v>
      </c>
      <c r="CA35" s="1374">
        <v>0</v>
      </c>
      <c r="CB35" s="1374">
        <v>0</v>
      </c>
      <c r="CC35" s="1374">
        <v>0</v>
      </c>
      <c r="CD35" s="1374">
        <v>0</v>
      </c>
      <c r="CE35" s="1374">
        <v>0</v>
      </c>
      <c r="CF35" s="1374">
        <v>0</v>
      </c>
      <c r="CG35" s="1376">
        <v>0</v>
      </c>
      <c r="CH35" s="1376">
        <v>0</v>
      </c>
      <c r="CI35" s="1376">
        <v>0</v>
      </c>
      <c r="CJ35" s="1376">
        <v>0</v>
      </c>
      <c r="CK35" s="1374">
        <v>183.5</v>
      </c>
      <c r="CL35" s="1374">
        <v>187.20000000000002</v>
      </c>
      <c r="CM35" s="1374">
        <v>0</v>
      </c>
      <c r="CN35" s="1326">
        <v>187.2</v>
      </c>
      <c r="CO35" s="1326">
        <v>0</v>
      </c>
      <c r="CP35" s="1326">
        <f t="shared" si="10"/>
        <v>2.8421709430404007E-14</v>
      </c>
      <c r="CQ35" s="1347">
        <v>10491.1</v>
      </c>
      <c r="CR35" s="1248">
        <v>0</v>
      </c>
      <c r="CS35" s="1327">
        <f t="shared" si="11"/>
        <v>23567.200000000001</v>
      </c>
      <c r="CT35" s="1327">
        <f t="shared" si="12"/>
        <v>23567.200000000001</v>
      </c>
      <c r="CU35" s="1328">
        <f t="shared" si="12"/>
        <v>0</v>
      </c>
      <c r="CV35" s="1328">
        <f t="shared" si="13"/>
        <v>10540.91</v>
      </c>
      <c r="CW35" s="1374">
        <v>23811.9</v>
      </c>
      <c r="CX35" s="1374">
        <v>23679.100000000002</v>
      </c>
      <c r="CY35" s="1374">
        <v>0</v>
      </c>
      <c r="CZ35" s="1234">
        <f t="shared" si="0"/>
        <v>85547.8</v>
      </c>
      <c r="DA35" s="2">
        <v>0</v>
      </c>
      <c r="DB35" s="2">
        <v>1920</v>
      </c>
      <c r="DC35" s="1329">
        <f t="shared" si="14"/>
        <v>2279.1999999999998</v>
      </c>
      <c r="DD35" s="1434">
        <f t="shared" si="15"/>
        <v>83268.600000000006</v>
      </c>
      <c r="DE35" s="1324">
        <f t="shared" si="16"/>
        <v>108415.7</v>
      </c>
      <c r="DF35" s="433">
        <v>0</v>
      </c>
      <c r="DG35" s="433">
        <v>0</v>
      </c>
      <c r="DH35" s="1409">
        <v>5</v>
      </c>
      <c r="DI35" s="433">
        <f t="shared" si="17"/>
        <v>1678</v>
      </c>
      <c r="DJ35" s="1256">
        <v>1683</v>
      </c>
      <c r="DK35" s="1323">
        <f>ROUND((DF35*1353+'не смотреть Субвенции 2017'!DG35*723+'не смотреть Субвенции 2017'!DH35*2613*1.2+'не смотреть Субвенции 2017'!DI35*2613)/1000,1)</f>
        <v>4400.3</v>
      </c>
      <c r="DL35" s="1448">
        <f t="shared" si="18"/>
        <v>112816</v>
      </c>
      <c r="DM35" s="1440">
        <v>750.00000000000284</v>
      </c>
      <c r="DN35" s="1447">
        <f t="shared" si="19"/>
        <v>2697.4</v>
      </c>
      <c r="DO35" s="1439">
        <f t="shared" si="20"/>
        <v>113566</v>
      </c>
      <c r="DP35" s="1448">
        <f t="shared" si="21"/>
        <v>115513400</v>
      </c>
      <c r="DQ35" s="761" t="e">
        <f>#REF!</f>
        <v>#REF!</v>
      </c>
      <c r="DR35" s="1236">
        <v>116434415.25999999</v>
      </c>
      <c r="DS35" s="1254">
        <f t="shared" si="22"/>
        <v>-921015.25999999046</v>
      </c>
      <c r="DT35" s="1450" t="e">
        <f t="shared" si="23"/>
        <v>#REF!</v>
      </c>
    </row>
    <row r="36" spans="1:124" s="1377" customFormat="1" ht="18.75">
      <c r="A36" s="1454" t="s">
        <v>533</v>
      </c>
      <c r="B36" s="1374">
        <v>3157</v>
      </c>
      <c r="C36" s="1374">
        <v>3171</v>
      </c>
      <c r="D36" s="1374">
        <v>44.5</v>
      </c>
      <c r="E36" s="1374">
        <v>44.5</v>
      </c>
      <c r="F36" s="1374">
        <v>0</v>
      </c>
      <c r="G36" s="1308">
        <v>45</v>
      </c>
      <c r="H36" s="1309"/>
      <c r="I36" s="1310">
        <f>'Смарт 2015'!$C$220+'Смарт 2015'!$C$226</f>
        <v>44.6</v>
      </c>
      <c r="J36" s="1310"/>
      <c r="K36" s="1310">
        <f t="shared" si="1"/>
        <v>18414.2</v>
      </c>
      <c r="L36" s="1310">
        <f>'Смарт 2015'!$D$220+'Смарт 2015'!$D$226</f>
        <v>18414.2</v>
      </c>
      <c r="M36" s="1310">
        <f>'Смарт 2015'!$J$220+'Смарт 2015'!$J$226</f>
        <v>0</v>
      </c>
      <c r="N36" s="1311">
        <f t="shared" si="2"/>
        <v>18579.3</v>
      </c>
      <c r="O36" s="1311">
        <f t="shared" si="3"/>
        <v>18579.3</v>
      </c>
      <c r="P36" s="1311"/>
      <c r="Q36" s="1374">
        <v>17797.2</v>
      </c>
      <c r="R36" s="1374">
        <v>17797.2</v>
      </c>
      <c r="S36" s="1374">
        <v>0</v>
      </c>
      <c r="T36" s="1374">
        <v>297.3</v>
      </c>
      <c r="U36" s="1374">
        <v>12.100000000000001</v>
      </c>
      <c r="V36" s="1375">
        <v>297.3</v>
      </c>
      <c r="W36" s="1375">
        <v>12.100000000000001</v>
      </c>
      <c r="X36" s="1375">
        <v>0</v>
      </c>
      <c r="Y36" s="1375">
        <v>0</v>
      </c>
      <c r="Z36" s="1313">
        <v>297.3</v>
      </c>
      <c r="AA36" s="1313">
        <v>12.100000000000001</v>
      </c>
      <c r="AB36" s="1350">
        <f t="shared" si="4"/>
        <v>4.6999999999999886</v>
      </c>
      <c r="AC36" s="2">
        <v>302</v>
      </c>
      <c r="AD36" s="2">
        <v>13</v>
      </c>
      <c r="AE36" s="1316">
        <v>24127.9</v>
      </c>
      <c r="AF36" s="1317">
        <f t="shared" si="5"/>
        <v>89564.1</v>
      </c>
      <c r="AG36" s="1318">
        <f t="shared" si="6"/>
        <v>87439.5</v>
      </c>
      <c r="AH36" s="1318">
        <f t="shared" si="7"/>
        <v>1977.5</v>
      </c>
      <c r="AI36" s="1318">
        <f t="shared" si="24"/>
        <v>2124.6</v>
      </c>
      <c r="AJ36" s="1374">
        <v>81504.800000000017</v>
      </c>
      <c r="AK36" s="1374">
        <v>1977.5</v>
      </c>
      <c r="AL36" s="1374">
        <v>81504.800000000017</v>
      </c>
      <c r="AM36" s="1374">
        <v>1977.5</v>
      </c>
      <c r="AN36" s="1374">
        <v>0</v>
      </c>
      <c r="AO36" s="1374">
        <v>0</v>
      </c>
      <c r="AP36" s="1375">
        <v>16.100000000000001</v>
      </c>
      <c r="AQ36" s="1375">
        <v>0.1</v>
      </c>
      <c r="AR36" s="1375">
        <v>16.100000000000001</v>
      </c>
      <c r="AS36" s="1375">
        <v>0.1</v>
      </c>
      <c r="AT36" s="1375">
        <v>0</v>
      </c>
      <c r="AU36" s="1375">
        <v>0</v>
      </c>
      <c r="AV36" s="1312">
        <v>16.100000000000001</v>
      </c>
      <c r="AW36" s="1312">
        <v>0.1</v>
      </c>
      <c r="AX36" s="1348">
        <v>17</v>
      </c>
      <c r="AY36" s="1337"/>
      <c r="AZ36" s="1320">
        <v>21706.400000000001</v>
      </c>
      <c r="BA36" s="1321">
        <v>17569.400000000001</v>
      </c>
      <c r="BB36" s="1322">
        <f t="shared" si="8"/>
        <v>4428.1000000000004</v>
      </c>
      <c r="BC36" s="1323">
        <f t="shared" si="9"/>
        <v>4428.1000000000004</v>
      </c>
      <c r="BD36" s="1323">
        <f>BH36/AQ36*AY36</f>
        <v>0</v>
      </c>
      <c r="BE36" s="1323"/>
      <c r="BF36" s="1323">
        <f>ROUND((BJ36+BL36)/AW36*AY36,1)</f>
        <v>0</v>
      </c>
      <c r="BG36" s="1374">
        <v>3343.1000000000004</v>
      </c>
      <c r="BH36" s="1374">
        <v>0</v>
      </c>
      <c r="BI36" s="1378">
        <f>3343.1-7.7</f>
        <v>3335.4</v>
      </c>
      <c r="BJ36" s="1378">
        <v>7.7</v>
      </c>
      <c r="BK36" s="1374">
        <v>0</v>
      </c>
      <c r="BL36" s="1374">
        <v>0</v>
      </c>
      <c r="BM36" s="1374">
        <v>0</v>
      </c>
      <c r="BN36" s="1374">
        <v>0</v>
      </c>
      <c r="BO36" s="1374">
        <v>0</v>
      </c>
      <c r="BP36" s="1374">
        <v>0</v>
      </c>
      <c r="BQ36" s="1374">
        <v>0</v>
      </c>
      <c r="BR36" s="1374">
        <v>0</v>
      </c>
      <c r="BS36" s="1374">
        <v>0</v>
      </c>
      <c r="BT36" s="1374">
        <v>0</v>
      </c>
      <c r="BU36" s="1376">
        <v>0</v>
      </c>
      <c r="BV36" s="1376">
        <v>0</v>
      </c>
      <c r="BW36" s="1376">
        <v>0</v>
      </c>
      <c r="BX36" s="1376">
        <v>0</v>
      </c>
      <c r="BY36" s="1374">
        <v>0</v>
      </c>
      <c r="BZ36" s="1374">
        <v>0</v>
      </c>
      <c r="CA36" s="1374">
        <v>0</v>
      </c>
      <c r="CB36" s="1374">
        <v>0</v>
      </c>
      <c r="CC36" s="1374">
        <v>0</v>
      </c>
      <c r="CD36" s="1374">
        <v>0</v>
      </c>
      <c r="CE36" s="1374">
        <v>0</v>
      </c>
      <c r="CF36" s="1374">
        <v>0</v>
      </c>
      <c r="CG36" s="1376">
        <v>0</v>
      </c>
      <c r="CH36" s="1376">
        <v>0</v>
      </c>
      <c r="CI36" s="1376">
        <v>0</v>
      </c>
      <c r="CJ36" s="1376">
        <v>0</v>
      </c>
      <c r="CK36" s="1374">
        <v>280.2</v>
      </c>
      <c r="CL36" s="1374">
        <v>280.2</v>
      </c>
      <c r="CM36" s="1374">
        <v>0</v>
      </c>
      <c r="CN36" s="1325">
        <v>277.8</v>
      </c>
      <c r="CO36" s="1325">
        <v>16.5</v>
      </c>
      <c r="CP36" s="1326">
        <f t="shared" si="10"/>
        <v>-14.100000000000023</v>
      </c>
      <c r="CQ36" s="1349">
        <v>9415.2999999999993</v>
      </c>
      <c r="CR36" s="1248">
        <f>ROUND('Смарт 2015'!$K$224,2)</f>
        <v>7463.3</v>
      </c>
      <c r="CS36" s="1327">
        <f t="shared" si="11"/>
        <v>32864.5</v>
      </c>
      <c r="CT36" s="1327">
        <f t="shared" si="12"/>
        <v>31386.799999999999</v>
      </c>
      <c r="CU36" s="1328">
        <f t="shared" si="12"/>
        <v>1477.7</v>
      </c>
      <c r="CV36" s="1328">
        <f t="shared" si="13"/>
        <v>9894.6299999999992</v>
      </c>
      <c r="CW36" s="1374">
        <v>33269.700000000004</v>
      </c>
      <c r="CX36" s="1374">
        <v>33269.700000000004</v>
      </c>
      <c r="CY36" s="1374">
        <v>0</v>
      </c>
      <c r="CZ36" s="1234">
        <f t="shared" si="0"/>
        <v>145436</v>
      </c>
      <c r="DA36" s="2">
        <v>0</v>
      </c>
      <c r="DB36" s="2">
        <v>6040.8</v>
      </c>
      <c r="DC36" s="1329">
        <f t="shared" si="14"/>
        <v>7170.9</v>
      </c>
      <c r="DD36" s="1434">
        <f t="shared" si="15"/>
        <v>138265.1</v>
      </c>
      <c r="DE36" s="1324">
        <f t="shared" si="16"/>
        <v>180021.2</v>
      </c>
      <c r="DF36" s="433">
        <v>39</v>
      </c>
      <c r="DG36" s="433">
        <v>0</v>
      </c>
      <c r="DH36" s="1421">
        <v>60</v>
      </c>
      <c r="DI36" s="433">
        <f t="shared" si="17"/>
        <v>3072</v>
      </c>
      <c r="DJ36" s="1255">
        <v>3171</v>
      </c>
      <c r="DK36" s="1323">
        <f>ROUND((DF36*1353+'не смотреть Субвенции 2017'!DG36*723+'не смотреть Субвенции 2017'!DH36*2613*1.2+'не смотреть Субвенции 2017'!DI36*2613)/1000,1)</f>
        <v>8268</v>
      </c>
      <c r="DL36" s="1448">
        <f>DK36+DE36</f>
        <v>188289.2</v>
      </c>
      <c r="DM36" s="1440">
        <f>6884.64-260.55</f>
        <v>6624.09</v>
      </c>
      <c r="DN36" s="1447">
        <f t="shared" si="19"/>
        <v>3761.5</v>
      </c>
      <c r="DO36" s="1439">
        <f t="shared" si="20"/>
        <v>194913.3</v>
      </c>
      <c r="DP36" s="1448">
        <f t="shared" si="21"/>
        <v>192050700</v>
      </c>
      <c r="DQ36" s="1457" t="e">
        <f>#REF!</f>
        <v>#REF!</v>
      </c>
      <c r="DR36" s="1236">
        <v>186357478.41</v>
      </c>
      <c r="DS36" s="1451">
        <f t="shared" si="22"/>
        <v>5693221.5900000036</v>
      </c>
      <c r="DT36" s="1456" t="e">
        <f t="shared" si="23"/>
        <v>#REF!</v>
      </c>
    </row>
    <row r="37" spans="1:124" s="1377" customFormat="1" ht="18.75">
      <c r="A37" s="1373" t="s">
        <v>786</v>
      </c>
      <c r="B37" s="1252">
        <v>4025</v>
      </c>
      <c r="C37" s="1252">
        <v>4068</v>
      </c>
      <c r="D37" s="1252">
        <v>31.8</v>
      </c>
      <c r="E37" s="1252">
        <v>31.8</v>
      </c>
      <c r="F37" s="1252">
        <v>0</v>
      </c>
      <c r="G37" s="1379">
        <v>32</v>
      </c>
      <c r="H37" s="1339"/>
      <c r="I37" s="1340">
        <f>'Смарт 2015'!$C$16+'Смарт 2015'!$C$23</f>
        <v>27</v>
      </c>
      <c r="J37" s="1340">
        <v>1.5</v>
      </c>
      <c r="K37" s="1310">
        <f t="shared" si="1"/>
        <v>14475.1</v>
      </c>
      <c r="L37" s="1310">
        <f>'Смарт 2015'!$D$16+'Смарт 2015'!$D$21</f>
        <v>14475.1</v>
      </c>
      <c r="M37" s="1310">
        <f>'Смарт 2015'!$J$16+'Смарт 2015'!$J$21</f>
        <v>0</v>
      </c>
      <c r="N37" s="1311">
        <f t="shared" si="2"/>
        <v>17155.7</v>
      </c>
      <c r="O37" s="1311">
        <f t="shared" si="3"/>
        <v>17155.7</v>
      </c>
      <c r="P37" s="1311">
        <f>ROUND(M37/J37*H37,1)</f>
        <v>0</v>
      </c>
      <c r="Q37" s="1252">
        <v>14638.5</v>
      </c>
      <c r="R37" s="1252">
        <v>14638.5</v>
      </c>
      <c r="S37" s="1252">
        <v>0</v>
      </c>
      <c r="T37" s="1252">
        <v>234.4</v>
      </c>
      <c r="U37" s="1252">
        <v>10.9</v>
      </c>
      <c r="V37" s="1380">
        <v>234.4</v>
      </c>
      <c r="W37" s="1380">
        <v>10.9</v>
      </c>
      <c r="X37" s="1380">
        <v>0</v>
      </c>
      <c r="Y37" s="1380">
        <v>0</v>
      </c>
      <c r="Z37" s="1313">
        <v>234.4</v>
      </c>
      <c r="AA37" s="1313">
        <v>10.9</v>
      </c>
      <c r="AB37" s="1350">
        <f t="shared" si="4"/>
        <v>21.599999999999994</v>
      </c>
      <c r="AC37" s="1341">
        <v>256</v>
      </c>
      <c r="AD37" s="1341">
        <v>6.5</v>
      </c>
      <c r="AE37" s="1316">
        <v>22379.200000000001</v>
      </c>
      <c r="AF37" s="1317">
        <f t="shared" si="5"/>
        <v>69652.2</v>
      </c>
      <c r="AG37" s="1318">
        <f t="shared" si="6"/>
        <v>68748.899999999994</v>
      </c>
      <c r="AH37" s="1318">
        <f t="shared" si="7"/>
        <v>1514.8</v>
      </c>
      <c r="AI37" s="1318">
        <f t="shared" si="24"/>
        <v>903.3</v>
      </c>
      <c r="AJ37" s="1252">
        <v>66526</v>
      </c>
      <c r="AK37" s="1252">
        <v>1514.8</v>
      </c>
      <c r="AL37" s="1252">
        <v>66526</v>
      </c>
      <c r="AM37" s="1252">
        <v>1514.8</v>
      </c>
      <c r="AN37" s="1252">
        <v>0</v>
      </c>
      <c r="AO37" s="1252">
        <v>0</v>
      </c>
      <c r="AP37" s="1380">
        <v>17</v>
      </c>
      <c r="AQ37" s="1380">
        <v>1</v>
      </c>
      <c r="AR37" s="1380">
        <v>17</v>
      </c>
      <c r="AS37" s="1380">
        <v>1</v>
      </c>
      <c r="AT37" s="1380">
        <v>0</v>
      </c>
      <c r="AU37" s="1380">
        <v>0</v>
      </c>
      <c r="AV37" s="1312">
        <v>17</v>
      </c>
      <c r="AW37" s="1312">
        <v>1</v>
      </c>
      <c r="AX37" s="1381">
        <v>17</v>
      </c>
      <c r="AY37" s="1382">
        <v>1</v>
      </c>
      <c r="AZ37" s="1320">
        <v>19182.7</v>
      </c>
      <c r="BA37" s="1321">
        <v>17296.400000000001</v>
      </c>
      <c r="BB37" s="1322">
        <f t="shared" si="8"/>
        <v>3997.3</v>
      </c>
      <c r="BC37" s="1323">
        <f t="shared" si="9"/>
        <v>3913.3</v>
      </c>
      <c r="BD37" s="1323">
        <f>BH37/AQ37*AY37</f>
        <v>84</v>
      </c>
      <c r="BE37" s="1323"/>
      <c r="BF37" s="1323">
        <f>ROUND((BJ37+BL37)/AW37*AY37,1)</f>
        <v>84</v>
      </c>
      <c r="BG37" s="1252">
        <v>3528.4</v>
      </c>
      <c r="BH37" s="1252">
        <v>84</v>
      </c>
      <c r="BI37" s="1252">
        <v>3528.4</v>
      </c>
      <c r="BJ37" s="1252">
        <v>84</v>
      </c>
      <c r="BK37" s="1252">
        <v>0</v>
      </c>
      <c r="BL37" s="1252">
        <v>0</v>
      </c>
      <c r="BM37" s="1252">
        <v>0</v>
      </c>
      <c r="BN37" s="1252">
        <v>0</v>
      </c>
      <c r="BO37" s="1252">
        <v>0</v>
      </c>
      <c r="BP37" s="1252">
        <v>0</v>
      </c>
      <c r="BQ37" s="1252">
        <v>0</v>
      </c>
      <c r="BR37" s="1252">
        <v>0</v>
      </c>
      <c r="BS37" s="1252">
        <v>0</v>
      </c>
      <c r="BT37" s="1252">
        <v>77</v>
      </c>
      <c r="BU37" s="1383">
        <v>0</v>
      </c>
      <c r="BV37" s="1383">
        <v>77</v>
      </c>
      <c r="BW37" s="1383">
        <v>0</v>
      </c>
      <c r="BX37" s="1383">
        <v>0</v>
      </c>
      <c r="BY37" s="1252">
        <v>1</v>
      </c>
      <c r="BZ37" s="1252">
        <v>1</v>
      </c>
      <c r="CA37" s="1252">
        <v>1</v>
      </c>
      <c r="CB37" s="1252">
        <v>1</v>
      </c>
      <c r="CC37" s="1252">
        <v>0</v>
      </c>
      <c r="CD37" s="1252">
        <v>0</v>
      </c>
      <c r="CE37" s="1252">
        <v>170</v>
      </c>
      <c r="CF37" s="1252">
        <v>170</v>
      </c>
      <c r="CG37" s="1383">
        <v>170</v>
      </c>
      <c r="CH37" s="1383">
        <v>170</v>
      </c>
      <c r="CI37" s="1383">
        <v>0</v>
      </c>
      <c r="CJ37" s="1383">
        <v>0</v>
      </c>
      <c r="CK37" s="1252">
        <v>141.4</v>
      </c>
      <c r="CL37" s="1252">
        <v>141.4</v>
      </c>
      <c r="CM37" s="1252">
        <v>0</v>
      </c>
      <c r="CN37" s="1343">
        <v>144</v>
      </c>
      <c r="CO37" s="1343">
        <v>5.5</v>
      </c>
      <c r="CP37" s="1326">
        <f t="shared" si="10"/>
        <v>-8.0999999999999943</v>
      </c>
      <c r="CQ37" s="1384">
        <v>12377.6</v>
      </c>
      <c r="CR37" s="1248">
        <f>ROUND('Смарт 2015'!$K$20,2)</f>
        <v>7919.35</v>
      </c>
      <c r="CS37" s="1327">
        <f t="shared" si="11"/>
        <v>21911.200000000001</v>
      </c>
      <c r="CT37" s="1327">
        <f t="shared" si="12"/>
        <v>21388.5</v>
      </c>
      <c r="CU37" s="1328">
        <f t="shared" si="12"/>
        <v>522.70000000000005</v>
      </c>
      <c r="CV37" s="1328">
        <f t="shared" si="13"/>
        <v>11324.55</v>
      </c>
      <c r="CW37" s="1252">
        <v>19215.5</v>
      </c>
      <c r="CX37" s="1252">
        <v>19215.5</v>
      </c>
      <c r="CY37" s="1252">
        <v>0</v>
      </c>
      <c r="CZ37" s="1234">
        <f t="shared" si="0"/>
        <v>113133.4</v>
      </c>
      <c r="DA37" s="2">
        <v>323.89999999999998</v>
      </c>
      <c r="DB37" s="2">
        <v>0</v>
      </c>
      <c r="DC37" s="1329">
        <f t="shared" si="14"/>
        <v>323.89999999999998</v>
      </c>
      <c r="DD37" s="1434">
        <f t="shared" si="15"/>
        <v>112809.5</v>
      </c>
      <c r="DE37" s="1324">
        <f t="shared" si="16"/>
        <v>146878</v>
      </c>
      <c r="DF37" s="433">
        <v>228</v>
      </c>
      <c r="DG37" s="433">
        <v>0</v>
      </c>
      <c r="DH37" s="1421">
        <v>0</v>
      </c>
      <c r="DI37" s="433">
        <f t="shared" si="17"/>
        <v>3840</v>
      </c>
      <c r="DJ37" s="1255">
        <v>4068</v>
      </c>
      <c r="DK37" s="1323">
        <f>ROUND((DF37*1353+'не смотреть Субвенции 2017'!DG37*723+'не смотреть Субвенции 2017'!DH37*2613*1.2+'не смотреть Субвенции 2017'!DI37*2613)/1000,1)</f>
        <v>10342.4</v>
      </c>
      <c r="DL37" s="1448">
        <f t="shared" si="18"/>
        <v>157220.4</v>
      </c>
      <c r="DM37" s="1440">
        <v>2816</v>
      </c>
      <c r="DN37" s="1447">
        <f t="shared" si="19"/>
        <v>2507.8000000000002</v>
      </c>
      <c r="DO37" s="1439">
        <f t="shared" si="20"/>
        <v>160036.4</v>
      </c>
      <c r="DP37" s="1448">
        <f t="shared" si="21"/>
        <v>159728200</v>
      </c>
      <c r="DQ37" s="761" t="e">
        <f>#REF!</f>
        <v>#REF!</v>
      </c>
      <c r="DR37" s="1236">
        <v>147194735.31</v>
      </c>
      <c r="DS37" s="1254">
        <f t="shared" si="22"/>
        <v>12533464.689999998</v>
      </c>
      <c r="DT37" s="1450" t="e">
        <f t="shared" si="23"/>
        <v>#REF!</v>
      </c>
    </row>
    <row r="38" spans="1:124" s="1388" customFormat="1" ht="18.75">
      <c r="A38" s="1373" t="s">
        <v>788</v>
      </c>
      <c r="B38" s="1252">
        <v>49353</v>
      </c>
      <c r="C38" s="1252">
        <v>49514</v>
      </c>
      <c r="D38" s="1252">
        <v>384.5</v>
      </c>
      <c r="E38" s="1252">
        <v>391.4</v>
      </c>
      <c r="F38" s="1252">
        <v>7</v>
      </c>
      <c r="G38" s="1383">
        <v>391.4</v>
      </c>
      <c r="H38" s="1385">
        <v>7</v>
      </c>
      <c r="I38" s="1252">
        <f>'Смарт 2015'!$C$25+'Смарт 2015'!$C$30</f>
        <v>392.8</v>
      </c>
      <c r="J38" s="1252">
        <v>0.3</v>
      </c>
      <c r="K38" s="1310">
        <f t="shared" si="1"/>
        <v>221712.49999999997</v>
      </c>
      <c r="L38" s="1310">
        <f>'Смарт 2015'!$D$25+'Смарт 2015'!$D$30</f>
        <v>221623.09999999998</v>
      </c>
      <c r="M38" s="1310">
        <f>'Смарт 2015'!$J$25+'Смарт 2015'!$J$30</f>
        <v>89.4</v>
      </c>
      <c r="N38" s="1311">
        <f t="shared" si="2"/>
        <v>222919.2</v>
      </c>
      <c r="O38" s="1311">
        <f t="shared" si="3"/>
        <v>220833.2</v>
      </c>
      <c r="P38" s="1311">
        <f>ROUND(M38/J38*H38,1)</f>
        <v>2086</v>
      </c>
      <c r="Q38" s="1252">
        <v>221010.9</v>
      </c>
      <c r="R38" s="1252">
        <v>221010.9</v>
      </c>
      <c r="S38" s="1252">
        <v>1376.8</v>
      </c>
      <c r="T38" s="1252">
        <v>2903.0999999999995</v>
      </c>
      <c r="U38" s="1252">
        <v>83.6</v>
      </c>
      <c r="V38" s="1380">
        <v>2929</v>
      </c>
      <c r="W38" s="1380">
        <v>66</v>
      </c>
      <c r="X38" s="1380">
        <v>67</v>
      </c>
      <c r="Y38" s="1380">
        <v>0</v>
      </c>
      <c r="Z38" s="1313">
        <v>2996</v>
      </c>
      <c r="AA38" s="1313">
        <v>66</v>
      </c>
      <c r="AB38" s="1314">
        <f t="shared" si="4"/>
        <v>0</v>
      </c>
      <c r="AC38" s="1360">
        <v>2996</v>
      </c>
      <c r="AD38" s="1360">
        <v>66</v>
      </c>
      <c r="AE38" s="1316">
        <v>26142.6</v>
      </c>
      <c r="AF38" s="1317">
        <f t="shared" si="5"/>
        <v>952046.4</v>
      </c>
      <c r="AG38" s="1318">
        <f t="shared" si="6"/>
        <v>939878.8</v>
      </c>
      <c r="AH38" s="1318">
        <f>AM38+AO38</f>
        <v>12167.6</v>
      </c>
      <c r="AI38" s="1318">
        <f t="shared" si="24"/>
        <v>12167.6</v>
      </c>
      <c r="AJ38" s="1252">
        <v>925828.50000000012</v>
      </c>
      <c r="AK38" s="1252">
        <v>12167.6</v>
      </c>
      <c r="AL38" s="1252">
        <v>925501.5</v>
      </c>
      <c r="AM38" s="1252">
        <v>12167.6</v>
      </c>
      <c r="AN38" s="1386">
        <v>8509.7754458030377</v>
      </c>
      <c r="AO38" s="1252">
        <v>0</v>
      </c>
      <c r="AP38" s="1380">
        <v>13.8</v>
      </c>
      <c r="AQ38" s="1380">
        <v>0</v>
      </c>
      <c r="AR38" s="1380">
        <v>13.8</v>
      </c>
      <c r="AS38" s="1380">
        <v>0</v>
      </c>
      <c r="AT38" s="1380">
        <v>0</v>
      </c>
      <c r="AU38" s="1380">
        <v>0</v>
      </c>
      <c r="AV38" s="1312">
        <v>13.8</v>
      </c>
      <c r="AW38" s="1312">
        <v>0</v>
      </c>
      <c r="AX38" s="1332">
        <v>14</v>
      </c>
      <c r="AY38" s="1332">
        <v>1</v>
      </c>
      <c r="AZ38" s="1320">
        <v>20498.3</v>
      </c>
      <c r="BA38" s="1321">
        <v>15837.8</v>
      </c>
      <c r="BB38" s="1322">
        <f t="shared" si="8"/>
        <v>3443.7</v>
      </c>
      <c r="BC38" s="1323">
        <f t="shared" si="9"/>
        <v>3443.7</v>
      </c>
      <c r="BD38" s="1323">
        <f>ROUND(AY38*AZ38*12/1000,1)</f>
        <v>246</v>
      </c>
      <c r="BE38" s="1323"/>
      <c r="BF38" s="1323"/>
      <c r="BG38" s="1252">
        <v>2728.3</v>
      </c>
      <c r="BH38" s="1252">
        <v>0</v>
      </c>
      <c r="BI38" s="1252">
        <v>2728.3</v>
      </c>
      <c r="BJ38" s="1252">
        <v>0</v>
      </c>
      <c r="BK38" s="1252">
        <v>0</v>
      </c>
      <c r="BL38" s="1252">
        <v>0</v>
      </c>
      <c r="BM38" s="1252">
        <v>0.5</v>
      </c>
      <c r="BN38" s="1252">
        <v>1.3</v>
      </c>
      <c r="BO38" s="1252">
        <v>0.5</v>
      </c>
      <c r="BP38" s="1252">
        <v>1.3</v>
      </c>
      <c r="BQ38" s="1252">
        <v>0</v>
      </c>
      <c r="BR38" s="1252">
        <v>0</v>
      </c>
      <c r="BS38" s="1252">
        <v>204</v>
      </c>
      <c r="BT38" s="1252">
        <v>191.7</v>
      </c>
      <c r="BU38" s="1383">
        <v>204</v>
      </c>
      <c r="BV38" s="1383">
        <v>191.7</v>
      </c>
      <c r="BW38" s="1383">
        <v>0</v>
      </c>
      <c r="BX38" s="1383">
        <v>0</v>
      </c>
      <c r="BY38" s="1252">
        <v>6</v>
      </c>
      <c r="BZ38" s="1252">
        <v>1</v>
      </c>
      <c r="CA38" s="1252">
        <v>6</v>
      </c>
      <c r="CB38" s="1252">
        <v>1</v>
      </c>
      <c r="CC38" s="1252">
        <v>0</v>
      </c>
      <c r="CD38" s="1252">
        <v>0</v>
      </c>
      <c r="CE38" s="1252">
        <v>1122.8</v>
      </c>
      <c r="CF38" s="1252">
        <v>189.9</v>
      </c>
      <c r="CG38" s="1383">
        <v>1122.8</v>
      </c>
      <c r="CH38" s="1383">
        <v>189.9</v>
      </c>
      <c r="CI38" s="1383">
        <v>0</v>
      </c>
      <c r="CJ38" s="1383">
        <v>0</v>
      </c>
      <c r="CK38" s="1252">
        <v>1095.7999999999997</v>
      </c>
      <c r="CL38" s="1252">
        <v>1107.5999999999999</v>
      </c>
      <c r="CM38" s="1252">
        <v>24.8</v>
      </c>
      <c r="CN38" s="1387">
        <v>1008.6</v>
      </c>
      <c r="CO38" s="1387">
        <v>113.2</v>
      </c>
      <c r="CP38" s="1326">
        <f t="shared" si="10"/>
        <v>10.599999999999838</v>
      </c>
      <c r="CQ38" s="1384">
        <v>12136.4</v>
      </c>
      <c r="CR38" s="1248">
        <f>ROUND('Смарт 2015'!$K$29,2)</f>
        <v>10144.59</v>
      </c>
      <c r="CS38" s="1327">
        <f t="shared" si="11"/>
        <v>160669.69999999998</v>
      </c>
      <c r="CT38" s="1327">
        <f t="shared" si="12"/>
        <v>146889.29999999999</v>
      </c>
      <c r="CU38" s="1328">
        <f t="shared" si="12"/>
        <v>13780.4</v>
      </c>
      <c r="CV38" s="1328">
        <f t="shared" si="13"/>
        <v>11586.99</v>
      </c>
      <c r="CW38" s="1252">
        <v>156349.19999999992</v>
      </c>
      <c r="CX38" s="1252">
        <v>156349.19999999992</v>
      </c>
      <c r="CY38" s="1386">
        <v>1104.1333333333332</v>
      </c>
      <c r="CZ38" s="1234">
        <f t="shared" si="0"/>
        <v>1340787.3999999999</v>
      </c>
      <c r="DA38" s="2">
        <v>9352.4</v>
      </c>
      <c r="DB38" s="2">
        <v>0</v>
      </c>
      <c r="DC38" s="1329">
        <f t="shared" si="14"/>
        <v>9352.4</v>
      </c>
      <c r="DD38" s="1434">
        <f t="shared" si="15"/>
        <v>1331435</v>
      </c>
      <c r="DE38" s="1324">
        <f t="shared" si="16"/>
        <v>1733528.4</v>
      </c>
      <c r="DF38" s="433">
        <v>25</v>
      </c>
      <c r="DG38" s="433">
        <v>241</v>
      </c>
      <c r="DH38" s="1435">
        <v>50</v>
      </c>
      <c r="DI38" s="433">
        <f t="shared" si="17"/>
        <v>49198</v>
      </c>
      <c r="DJ38" s="1255">
        <v>49514</v>
      </c>
      <c r="DK38" s="1323">
        <f>ROUND((DF38*1353+'не смотреть Субвенции 2017'!DG38*723+'не смотреть Субвенции 2017'!DH38*2613*1.2+'не смотреть Субвенции 2017'!DI38*2613)/1000,1)</f>
        <v>128919.2</v>
      </c>
      <c r="DL38" s="1448">
        <f t="shared" si="18"/>
        <v>1862447.5999999999</v>
      </c>
      <c r="DM38" s="1440">
        <v>8584.0000000000146</v>
      </c>
      <c r="DN38" s="1447">
        <f t="shared" si="19"/>
        <v>18389.400000000001</v>
      </c>
      <c r="DO38" s="1439">
        <f t="shared" si="20"/>
        <v>1871031.6</v>
      </c>
      <c r="DP38" s="1448">
        <f t="shared" si="21"/>
        <v>1880837000</v>
      </c>
      <c r="DQ38" s="1458" t="e">
        <f>#REF!</f>
        <v>#REF!</v>
      </c>
      <c r="DR38" s="1236">
        <v>1842966454.75</v>
      </c>
      <c r="DS38" s="1451">
        <f t="shared" si="22"/>
        <v>37870545.25</v>
      </c>
      <c r="DT38" s="1456" t="e">
        <f t="shared" si="23"/>
        <v>#REF!</v>
      </c>
    </row>
    <row r="39" spans="1:124" s="1390" customFormat="1" ht="18.75">
      <c r="A39" s="1373" t="s">
        <v>790</v>
      </c>
      <c r="B39" s="1253">
        <v>2799</v>
      </c>
      <c r="C39" s="1253">
        <v>2834</v>
      </c>
      <c r="D39" s="1253">
        <v>27</v>
      </c>
      <c r="E39" s="1253">
        <v>27</v>
      </c>
      <c r="F39" s="1253">
        <v>0</v>
      </c>
      <c r="G39" s="1308">
        <v>28</v>
      </c>
      <c r="H39" s="1309">
        <v>0</v>
      </c>
      <c r="I39" s="1310">
        <f>'Смарт 2015'!$C$33+'Смарт 2015'!$C$37</f>
        <v>27</v>
      </c>
      <c r="J39" s="1310"/>
      <c r="K39" s="1310">
        <f t="shared" si="1"/>
        <v>8247.2999999999993</v>
      </c>
      <c r="L39" s="1310">
        <f>'Смарт 2015'!$D$33+'Смарт 2015'!$D$37</f>
        <v>8247.2999999999993</v>
      </c>
      <c r="M39" s="1310">
        <f>'Смарт 2015'!$J$33+'Смарт 2015'!$J$37</f>
        <v>0</v>
      </c>
      <c r="N39" s="1311">
        <f t="shared" si="2"/>
        <v>8552.7999999999993</v>
      </c>
      <c r="O39" s="1311">
        <f t="shared" si="3"/>
        <v>8552.7999999999993</v>
      </c>
      <c r="P39" s="1311"/>
      <c r="Q39" s="1253">
        <v>8245.1999999999989</v>
      </c>
      <c r="R39" s="1253">
        <v>8344.5</v>
      </c>
      <c r="S39" s="1253">
        <v>0</v>
      </c>
      <c r="T39" s="1253">
        <v>188</v>
      </c>
      <c r="U39" s="1253">
        <v>6.9</v>
      </c>
      <c r="V39" s="1380">
        <v>189.10000000000002</v>
      </c>
      <c r="W39" s="1380">
        <v>5.3000000000000007</v>
      </c>
      <c r="X39" s="1380">
        <v>0</v>
      </c>
      <c r="Y39" s="1380">
        <v>0</v>
      </c>
      <c r="Z39" s="1313">
        <v>189.10000000000002</v>
      </c>
      <c r="AA39" s="1313">
        <v>5.3000000000000007</v>
      </c>
      <c r="AB39" s="1314">
        <f t="shared" si="4"/>
        <v>0.89999999999997726</v>
      </c>
      <c r="AC39" s="2">
        <v>190</v>
      </c>
      <c r="AD39" s="2">
        <v>6</v>
      </c>
      <c r="AE39" s="1316">
        <v>22254.5</v>
      </c>
      <c r="AF39" s="1317">
        <f t="shared" si="5"/>
        <v>51650.9</v>
      </c>
      <c r="AG39" s="1318">
        <f t="shared" si="6"/>
        <v>50740.3</v>
      </c>
      <c r="AH39" s="1318">
        <f t="shared" si="7"/>
        <v>804.4</v>
      </c>
      <c r="AI39" s="1318">
        <f t="shared" si="24"/>
        <v>910.6</v>
      </c>
      <c r="AJ39" s="1253">
        <v>49956.9</v>
      </c>
      <c r="AK39" s="1253">
        <v>821.7</v>
      </c>
      <c r="AL39" s="1253">
        <v>50500</v>
      </c>
      <c r="AM39" s="1253">
        <v>804.4</v>
      </c>
      <c r="AN39" s="1253">
        <v>0</v>
      </c>
      <c r="AO39" s="1253">
        <v>0</v>
      </c>
      <c r="AP39" s="1380">
        <v>0</v>
      </c>
      <c r="AQ39" s="1380">
        <v>0</v>
      </c>
      <c r="AR39" s="1380">
        <v>0</v>
      </c>
      <c r="AS39" s="1380">
        <v>0</v>
      </c>
      <c r="AT39" s="1380">
        <v>0</v>
      </c>
      <c r="AU39" s="1380">
        <v>0</v>
      </c>
      <c r="AV39" s="1312">
        <v>0</v>
      </c>
      <c r="AW39" s="1312">
        <v>0</v>
      </c>
      <c r="AX39" s="1348"/>
      <c r="AY39" s="1337"/>
      <c r="AZ39" s="1320">
        <v>20132</v>
      </c>
      <c r="BA39" s="1321">
        <v>0</v>
      </c>
      <c r="BB39" s="1322">
        <f t="shared" si="8"/>
        <v>0</v>
      </c>
      <c r="BC39" s="1323">
        <f t="shared" si="9"/>
        <v>0</v>
      </c>
      <c r="BD39" s="1323">
        <f>BJ39+BL39</f>
        <v>0</v>
      </c>
      <c r="BE39" s="1323"/>
      <c r="BF39" s="1323"/>
      <c r="BG39" s="1253">
        <v>0</v>
      </c>
      <c r="BH39" s="1253">
        <v>0</v>
      </c>
      <c r="BI39" s="1253">
        <v>0</v>
      </c>
      <c r="BJ39" s="1253">
        <v>0</v>
      </c>
      <c r="BK39" s="1253">
        <v>0</v>
      </c>
      <c r="BL39" s="1253">
        <v>0</v>
      </c>
      <c r="BM39" s="1253">
        <v>0</v>
      </c>
      <c r="BN39" s="1253">
        <v>0</v>
      </c>
      <c r="BO39" s="1253">
        <v>0</v>
      </c>
      <c r="BP39" s="1253">
        <v>0</v>
      </c>
      <c r="BQ39" s="1253">
        <v>0</v>
      </c>
      <c r="BR39" s="1253">
        <v>0</v>
      </c>
      <c r="BS39" s="1253">
        <v>0</v>
      </c>
      <c r="BT39" s="1253">
        <v>0</v>
      </c>
      <c r="BU39" s="1383">
        <v>0</v>
      </c>
      <c r="BV39" s="1383">
        <v>0</v>
      </c>
      <c r="BW39" s="1383">
        <v>0</v>
      </c>
      <c r="BX39" s="1383">
        <v>0</v>
      </c>
      <c r="BY39" s="1253">
        <v>0</v>
      </c>
      <c r="BZ39" s="1253">
        <v>0.5</v>
      </c>
      <c r="CA39" s="1253">
        <v>0</v>
      </c>
      <c r="CB39" s="1253">
        <v>0.5</v>
      </c>
      <c r="CC39" s="1253">
        <v>0</v>
      </c>
      <c r="CD39" s="1253">
        <v>0</v>
      </c>
      <c r="CE39" s="1253">
        <v>0</v>
      </c>
      <c r="CF39" s="1253">
        <v>65.099999999999994</v>
      </c>
      <c r="CG39" s="1383">
        <v>0</v>
      </c>
      <c r="CH39" s="1383">
        <v>63.5</v>
      </c>
      <c r="CI39" s="1383">
        <v>0</v>
      </c>
      <c r="CJ39" s="1383">
        <v>0</v>
      </c>
      <c r="CK39" s="1253">
        <v>142</v>
      </c>
      <c r="CL39" s="1253">
        <v>141.5</v>
      </c>
      <c r="CM39" s="1253">
        <v>0</v>
      </c>
      <c r="CN39" s="1326">
        <v>140</v>
      </c>
      <c r="CO39" s="1326">
        <v>6</v>
      </c>
      <c r="CP39" s="1326">
        <f t="shared" si="10"/>
        <v>-4.5</v>
      </c>
      <c r="CQ39" s="1389">
        <v>8003.6</v>
      </c>
      <c r="CR39" s="1248">
        <f>ROUND('Смарт 2015'!$K$36,2)</f>
        <v>8060.34</v>
      </c>
      <c r="CS39" s="1327">
        <f t="shared" si="11"/>
        <v>14026.3</v>
      </c>
      <c r="CT39" s="1327">
        <f t="shared" si="12"/>
        <v>13446</v>
      </c>
      <c r="CU39" s="1328">
        <f t="shared" si="12"/>
        <v>580.29999999999995</v>
      </c>
      <c r="CV39" s="1328">
        <f t="shared" si="13"/>
        <v>8377.15</v>
      </c>
      <c r="CW39" s="1253">
        <v>13637.8</v>
      </c>
      <c r="CX39" s="1253">
        <v>14224.400000000001</v>
      </c>
      <c r="CY39" s="1253">
        <v>0</v>
      </c>
      <c r="CZ39" s="1234">
        <f t="shared" si="0"/>
        <v>74293.5</v>
      </c>
      <c r="DA39" s="2">
        <v>0</v>
      </c>
      <c r="DB39" s="2">
        <v>0</v>
      </c>
      <c r="DC39" s="1329">
        <f t="shared" si="14"/>
        <v>0</v>
      </c>
      <c r="DD39" s="1434">
        <f t="shared" si="15"/>
        <v>74293.5</v>
      </c>
      <c r="DE39" s="1324">
        <f t="shared" si="16"/>
        <v>96730.1</v>
      </c>
      <c r="DF39" s="433">
        <v>0</v>
      </c>
      <c r="DG39" s="433">
        <v>0</v>
      </c>
      <c r="DH39" s="11">
        <v>14</v>
      </c>
      <c r="DI39" s="433">
        <f t="shared" si="17"/>
        <v>2820</v>
      </c>
      <c r="DJ39" s="1255">
        <v>2834</v>
      </c>
      <c r="DK39" s="1323">
        <f>ROUND((DF39*1353+'не смотреть Субвенции 2017'!DG39*723+'не смотреть Субвенции 2017'!DH39*2613*1.2+'не смотреть Субвенции 2017'!DI39*2613)/1000,1)</f>
        <v>7412.6</v>
      </c>
      <c r="DL39" s="1448">
        <f t="shared" si="18"/>
        <v>104142.70000000001</v>
      </c>
      <c r="DM39" s="1440">
        <v>1376.2000000000007</v>
      </c>
      <c r="DN39" s="1447">
        <f t="shared" si="19"/>
        <v>1605.4</v>
      </c>
      <c r="DO39" s="1439">
        <f t="shared" si="20"/>
        <v>105518.9</v>
      </c>
      <c r="DP39" s="1448">
        <f t="shared" si="21"/>
        <v>105748100</v>
      </c>
      <c r="DQ39" s="1455" t="e">
        <f>#REF!</f>
        <v>#REF!</v>
      </c>
      <c r="DR39" s="1236">
        <v>103579533.65000001</v>
      </c>
      <c r="DS39" s="1254">
        <f t="shared" si="22"/>
        <v>2168566.349999994</v>
      </c>
      <c r="DT39" s="1450" t="e">
        <f t="shared" si="23"/>
        <v>#REF!</v>
      </c>
    </row>
    <row r="40" spans="1:124" s="1388" customFormat="1" ht="19.5" thickBot="1">
      <c r="A40" s="1391" t="s">
        <v>791</v>
      </c>
      <c r="B40" s="1252">
        <v>3218</v>
      </c>
      <c r="C40" s="1252">
        <v>3223</v>
      </c>
      <c r="D40" s="1386">
        <v>29.9</v>
      </c>
      <c r="E40" s="1386">
        <v>29.9</v>
      </c>
      <c r="F40" s="1386">
        <v>0</v>
      </c>
      <c r="G40" s="1308">
        <v>30</v>
      </c>
      <c r="H40" s="1309">
        <v>0</v>
      </c>
      <c r="I40" s="1310">
        <f>'Смарт 2015'!$C$40+'Смарт 2015'!$C$44</f>
        <v>29.200000000000003</v>
      </c>
      <c r="J40" s="1310"/>
      <c r="K40" s="1310">
        <f t="shared" si="1"/>
        <v>12983.5</v>
      </c>
      <c r="L40" s="1310">
        <f>'Смарт 2015'!$D$40+'Смарт 2015'!$D$44</f>
        <v>12983.5</v>
      </c>
      <c r="M40" s="1310">
        <f>'Смарт 2015'!$J$60+'Смарт 2015'!$J$65</f>
        <v>0</v>
      </c>
      <c r="N40" s="1311">
        <f t="shared" si="2"/>
        <v>13339.2</v>
      </c>
      <c r="O40" s="1311">
        <f t="shared" si="3"/>
        <v>13339.2</v>
      </c>
      <c r="P40" s="1311"/>
      <c r="Q40" s="1386">
        <v>11801.599999999999</v>
      </c>
      <c r="R40" s="1386">
        <v>11801.599999999999</v>
      </c>
      <c r="S40" s="1386">
        <v>0</v>
      </c>
      <c r="T40" s="1386">
        <v>204.99999999999997</v>
      </c>
      <c r="U40" s="1386">
        <v>12.4</v>
      </c>
      <c r="V40" s="1392">
        <v>204.99999999999997</v>
      </c>
      <c r="W40" s="1392">
        <v>12.4</v>
      </c>
      <c r="X40" s="1392">
        <v>0</v>
      </c>
      <c r="Y40" s="1392">
        <v>0</v>
      </c>
      <c r="Z40" s="1313">
        <v>204.99999999999997</v>
      </c>
      <c r="AA40" s="1313">
        <v>12.4</v>
      </c>
      <c r="AB40" s="1314">
        <f t="shared" si="4"/>
        <v>3.0000000000000284</v>
      </c>
      <c r="AC40" s="2">
        <v>208</v>
      </c>
      <c r="AD40" s="2">
        <v>12.8</v>
      </c>
      <c r="AE40" s="1316">
        <v>23419.7</v>
      </c>
      <c r="AF40" s="1317">
        <f t="shared" si="5"/>
        <v>60218.7</v>
      </c>
      <c r="AG40" s="1318">
        <f t="shared" si="6"/>
        <v>58455.6</v>
      </c>
      <c r="AH40" s="1318">
        <f t="shared" si="7"/>
        <v>1708</v>
      </c>
      <c r="AI40" s="1318">
        <f t="shared" si="24"/>
        <v>1763.1</v>
      </c>
      <c r="AJ40" s="1386">
        <v>58455.7</v>
      </c>
      <c r="AK40" s="1386">
        <v>1708</v>
      </c>
      <c r="AL40" s="1386">
        <v>58455.679999999993</v>
      </c>
      <c r="AM40" s="1386">
        <v>1708</v>
      </c>
      <c r="AN40" s="1386">
        <v>0</v>
      </c>
      <c r="AO40" s="1386">
        <v>0</v>
      </c>
      <c r="AP40" s="1392">
        <v>0</v>
      </c>
      <c r="AQ40" s="1392">
        <v>0</v>
      </c>
      <c r="AR40" s="1392">
        <v>0</v>
      </c>
      <c r="AS40" s="1392">
        <v>0</v>
      </c>
      <c r="AT40" s="1392">
        <v>0</v>
      </c>
      <c r="AU40" s="1392">
        <v>0</v>
      </c>
      <c r="AV40" s="1312">
        <v>0</v>
      </c>
      <c r="AW40" s="1312">
        <v>0</v>
      </c>
      <c r="AX40" s="1348"/>
      <c r="AY40" s="1337"/>
      <c r="AZ40" s="1320">
        <v>21024</v>
      </c>
      <c r="BA40" s="1321">
        <v>0</v>
      </c>
      <c r="BB40" s="1322">
        <f t="shared" si="8"/>
        <v>0</v>
      </c>
      <c r="BC40" s="1323">
        <f t="shared" si="9"/>
        <v>0</v>
      </c>
      <c r="BD40" s="1323">
        <f>BJ40+BL40</f>
        <v>0</v>
      </c>
      <c r="BE40" s="1323"/>
      <c r="BF40" s="1323"/>
      <c r="BG40" s="1386">
        <v>0</v>
      </c>
      <c r="BH40" s="1386">
        <v>0</v>
      </c>
      <c r="BI40" s="1386">
        <v>0</v>
      </c>
      <c r="BJ40" s="1386">
        <v>0</v>
      </c>
      <c r="BK40" s="1386">
        <v>0</v>
      </c>
      <c r="BL40" s="1386">
        <v>0</v>
      </c>
      <c r="BM40" s="1386">
        <v>0</v>
      </c>
      <c r="BN40" s="1386">
        <v>0</v>
      </c>
      <c r="BO40" s="1386">
        <v>0</v>
      </c>
      <c r="BP40" s="1386">
        <v>0</v>
      </c>
      <c r="BQ40" s="1386">
        <v>0</v>
      </c>
      <c r="BR40" s="1386">
        <v>0</v>
      </c>
      <c r="BS40" s="1386">
        <v>0</v>
      </c>
      <c r="BT40" s="1386">
        <v>0</v>
      </c>
      <c r="BU40" s="1393">
        <v>0</v>
      </c>
      <c r="BV40" s="1393">
        <v>0</v>
      </c>
      <c r="BW40" s="1393">
        <v>0</v>
      </c>
      <c r="BX40" s="1393">
        <v>0</v>
      </c>
      <c r="BY40" s="1386">
        <v>0</v>
      </c>
      <c r="BZ40" s="1386">
        <v>0</v>
      </c>
      <c r="CA40" s="1386">
        <v>0</v>
      </c>
      <c r="CB40" s="1386">
        <v>0</v>
      </c>
      <c r="CC40" s="1386">
        <v>0</v>
      </c>
      <c r="CD40" s="1386">
        <v>0</v>
      </c>
      <c r="CE40" s="1386">
        <v>0</v>
      </c>
      <c r="CF40" s="1386">
        <v>0</v>
      </c>
      <c r="CG40" s="1393">
        <v>0</v>
      </c>
      <c r="CH40" s="1393">
        <v>0</v>
      </c>
      <c r="CI40" s="1393">
        <v>0</v>
      </c>
      <c r="CJ40" s="1393">
        <v>0</v>
      </c>
      <c r="CK40" s="1386">
        <v>149.20000000000002</v>
      </c>
      <c r="CL40" s="1386">
        <v>149.20000000000002</v>
      </c>
      <c r="CM40" s="1386">
        <v>0</v>
      </c>
      <c r="CN40" s="1326">
        <f>115+21</f>
        <v>136</v>
      </c>
      <c r="CO40" s="1326">
        <f>7.5+7.5</f>
        <v>15</v>
      </c>
      <c r="CP40" s="1326">
        <f t="shared" si="10"/>
        <v>-1.7999999999999829</v>
      </c>
      <c r="CQ40" s="1369">
        <v>9644.1</v>
      </c>
      <c r="CR40" s="1248">
        <f>ROUND('Смарт 2015'!$K$43,2)</f>
        <v>8939.39</v>
      </c>
      <c r="CS40" s="1327">
        <f t="shared" si="11"/>
        <v>17348.3</v>
      </c>
      <c r="CT40" s="1327">
        <f t="shared" si="12"/>
        <v>15739.2</v>
      </c>
      <c r="CU40" s="1328">
        <f t="shared" si="12"/>
        <v>1609.1</v>
      </c>
      <c r="CV40" s="1328">
        <f t="shared" si="13"/>
        <v>10380.81</v>
      </c>
      <c r="CW40" s="1386">
        <v>19997.2</v>
      </c>
      <c r="CX40" s="1386">
        <v>18585.8</v>
      </c>
      <c r="CY40" s="1386">
        <v>0</v>
      </c>
      <c r="CZ40" s="1234">
        <f>CS40+CJ40+CI40+CH40+CG40+BX40+BW40+BV40+BU40+BF40+BC40+AI40+AG40+N40</f>
        <v>90906.2</v>
      </c>
      <c r="DA40" s="2">
        <v>0</v>
      </c>
      <c r="DB40" s="2">
        <v>0</v>
      </c>
      <c r="DC40" s="1329">
        <f t="shared" si="14"/>
        <v>0</v>
      </c>
      <c r="DD40" s="1434">
        <f t="shared" si="15"/>
        <v>90906.2</v>
      </c>
      <c r="DE40" s="1324">
        <f t="shared" si="16"/>
        <v>118359.9</v>
      </c>
      <c r="DF40" s="433">
        <v>0</v>
      </c>
      <c r="DG40" s="433">
        <v>30</v>
      </c>
      <c r="DH40" s="11">
        <v>7</v>
      </c>
      <c r="DI40" s="433">
        <f t="shared" si="17"/>
        <v>3186</v>
      </c>
      <c r="DJ40" s="1255">
        <v>3223</v>
      </c>
      <c r="DK40" s="1323">
        <f>ROUND((DF40*1353+'не смотреть Субвенции 2017'!DG40*723+'не смотреть Субвенции 2017'!DH40*2613*1.2+'не смотреть Субвенции 2017'!DI40*2613)/1000,1)</f>
        <v>8368.7000000000007</v>
      </c>
      <c r="DL40" s="1448">
        <f t="shared" si="18"/>
        <v>126728.59999999999</v>
      </c>
      <c r="DM40" s="1440">
        <v>2111.802336000002</v>
      </c>
      <c r="DN40" s="1447">
        <f t="shared" si="19"/>
        <v>1985.6</v>
      </c>
      <c r="DO40" s="1439">
        <f t="shared" si="20"/>
        <v>128840.4</v>
      </c>
      <c r="DP40" s="1448">
        <f t="shared" si="21"/>
        <v>128714200</v>
      </c>
      <c r="DQ40" s="1394">
        <f>DL41+83104</f>
        <v>5196263.5</v>
      </c>
      <c r="DR40" s="1236">
        <v>126160626.56999999</v>
      </c>
      <c r="DS40" s="1254">
        <f t="shared" si="22"/>
        <v>2553573.4300000072</v>
      </c>
      <c r="DT40" s="1450">
        <f t="shared" si="23"/>
        <v>-120964363.06999999</v>
      </c>
    </row>
    <row r="41" spans="1:124" s="1411" customFormat="1" ht="19.5" thickBot="1">
      <c r="A41" s="1395" t="s">
        <v>879</v>
      </c>
      <c r="B41" s="1396">
        <f>SUM(B12:B40)</f>
        <v>102716</v>
      </c>
      <c r="C41" s="1396">
        <f t="shared" ref="C41:CD41" si="27">SUM(C12:C40)</f>
        <v>103434</v>
      </c>
      <c r="D41" s="1396">
        <f t="shared" si="27"/>
        <v>1256.0999999999999</v>
      </c>
      <c r="E41" s="1396">
        <f t="shared" si="27"/>
        <v>1272.0999999999999</v>
      </c>
      <c r="F41" s="1396">
        <f t="shared" si="27"/>
        <v>7</v>
      </c>
      <c r="G41" s="1396">
        <f t="shared" si="27"/>
        <v>1265.9000000000001</v>
      </c>
      <c r="H41" s="1396">
        <f t="shared" si="27"/>
        <v>12.3</v>
      </c>
      <c r="I41" s="1396">
        <f t="shared" si="27"/>
        <v>1226.4000000000001</v>
      </c>
      <c r="J41" s="1396">
        <f t="shared" si="27"/>
        <v>7.8</v>
      </c>
      <c r="K41" s="1396">
        <f t="shared" si="27"/>
        <v>609254.19999999995</v>
      </c>
      <c r="L41" s="1396">
        <f t="shared" si="27"/>
        <v>607605.39999999991</v>
      </c>
      <c r="M41" s="1396">
        <f t="shared" si="27"/>
        <v>1648.8000000000002</v>
      </c>
      <c r="N41" s="1397">
        <f>SUM(N12:N40)</f>
        <v>634168.6</v>
      </c>
      <c r="O41" s="1398">
        <f t="shared" si="27"/>
        <v>630763.69999999995</v>
      </c>
      <c r="P41" s="1398">
        <f t="shared" si="27"/>
        <v>3404.9</v>
      </c>
      <c r="Q41" s="1396">
        <f t="shared" si="27"/>
        <v>598907.39999999991</v>
      </c>
      <c r="R41" s="1399">
        <f t="shared" si="27"/>
        <v>599821</v>
      </c>
      <c r="S41" s="1399">
        <f t="shared" si="27"/>
        <v>1376.8</v>
      </c>
      <c r="T41" s="1396">
        <f t="shared" si="27"/>
        <v>7946.3</v>
      </c>
      <c r="U41" s="1396">
        <f t="shared" si="27"/>
        <v>275.59999999999991</v>
      </c>
      <c r="V41" s="1396">
        <f t="shared" si="27"/>
        <v>7980.3</v>
      </c>
      <c r="W41" s="1396">
        <f t="shared" si="27"/>
        <v>257.2</v>
      </c>
      <c r="X41" s="1396">
        <f t="shared" si="27"/>
        <v>67</v>
      </c>
      <c r="Y41" s="1396">
        <f t="shared" si="27"/>
        <v>0</v>
      </c>
      <c r="Z41" s="1396">
        <f t="shared" si="27"/>
        <v>8047.3</v>
      </c>
      <c r="AA41" s="1396">
        <f t="shared" si="27"/>
        <v>257.2</v>
      </c>
      <c r="AB41" s="1396">
        <f t="shared" si="27"/>
        <v>47.700000000000045</v>
      </c>
      <c r="AC41" s="1396">
        <f t="shared" si="27"/>
        <v>8095</v>
      </c>
      <c r="AD41" s="1396">
        <f t="shared" si="27"/>
        <v>260.89999999999998</v>
      </c>
      <c r="AE41" s="1316">
        <v>24032.2</v>
      </c>
      <c r="AF41" s="1400">
        <f t="shared" si="27"/>
        <v>2384045.9000000004</v>
      </c>
      <c r="AG41" s="1397">
        <f t="shared" si="27"/>
        <v>2338204.1999999997</v>
      </c>
      <c r="AH41" s="1398">
        <f t="shared" si="27"/>
        <v>46104.5</v>
      </c>
      <c r="AI41" s="1397">
        <f t="shared" si="27"/>
        <v>45841.7</v>
      </c>
      <c r="AJ41" s="1396">
        <f t="shared" si="27"/>
        <v>2251999.4</v>
      </c>
      <c r="AK41" s="1396">
        <f t="shared" si="27"/>
        <v>45739.399999999994</v>
      </c>
      <c r="AL41" s="1396">
        <f t="shared" si="27"/>
        <v>2264802.48</v>
      </c>
      <c r="AM41" s="1396">
        <f t="shared" si="27"/>
        <v>46104.5</v>
      </c>
      <c r="AN41" s="1396">
        <f t="shared" si="27"/>
        <v>8509.7754458030377</v>
      </c>
      <c r="AO41" s="1396">
        <f t="shared" si="27"/>
        <v>0</v>
      </c>
      <c r="AP41" s="1396">
        <f t="shared" si="27"/>
        <v>233.1</v>
      </c>
      <c r="AQ41" s="1396">
        <f t="shared" si="27"/>
        <v>4.7</v>
      </c>
      <c r="AR41" s="1396">
        <f t="shared" si="27"/>
        <v>268.29999999999995</v>
      </c>
      <c r="AS41" s="1396">
        <f t="shared" si="27"/>
        <v>5.7</v>
      </c>
      <c r="AT41" s="1396">
        <f t="shared" si="27"/>
        <v>1.3</v>
      </c>
      <c r="AU41" s="1396">
        <f t="shared" si="27"/>
        <v>0.3</v>
      </c>
      <c r="AV41" s="1396">
        <v>269.59999999999997</v>
      </c>
      <c r="AW41" s="1396">
        <v>6</v>
      </c>
      <c r="AX41" s="1401">
        <f>SUM(AX12:AX40)</f>
        <v>299.20000000000005</v>
      </c>
      <c r="AY41" s="1401">
        <f>SUM(AY12:AY40)</f>
        <v>7.55</v>
      </c>
      <c r="AZ41" s="1402">
        <v>20508.2</v>
      </c>
      <c r="BA41" s="1403"/>
      <c r="BB41" s="1404">
        <f>SUM(BB12:BB40)</f>
        <v>75510.899999999994</v>
      </c>
      <c r="BC41" s="1405">
        <f>SUM(BC12:BC40)</f>
        <v>74335.400000000009</v>
      </c>
      <c r="BD41" s="1401">
        <f>SUM(BD12:BD40)</f>
        <v>1234.5446428571427</v>
      </c>
      <c r="BE41" s="1401">
        <f>SUM(BE12:BE40)</f>
        <v>0</v>
      </c>
      <c r="BF41" s="1405">
        <f>SUM(BF12:BF40)</f>
        <v>1175.5</v>
      </c>
      <c r="BG41" s="1396">
        <f t="shared" si="27"/>
        <v>50420.2</v>
      </c>
      <c r="BH41" s="1396">
        <f t="shared" si="27"/>
        <v>751.69999999999993</v>
      </c>
      <c r="BI41" s="1396">
        <f t="shared" si="27"/>
        <v>58472.9</v>
      </c>
      <c r="BJ41" s="1396">
        <f t="shared" si="27"/>
        <v>879.7</v>
      </c>
      <c r="BK41" s="1396">
        <f t="shared" si="27"/>
        <v>301.3</v>
      </c>
      <c r="BL41" s="1396">
        <f t="shared" si="27"/>
        <v>131.4</v>
      </c>
      <c r="BM41" s="1396">
        <f t="shared" si="27"/>
        <v>1.5</v>
      </c>
      <c r="BN41" s="1396">
        <f t="shared" si="27"/>
        <v>1.3</v>
      </c>
      <c r="BO41" s="1396">
        <f t="shared" si="27"/>
        <v>1.5</v>
      </c>
      <c r="BP41" s="1396">
        <f t="shared" si="27"/>
        <v>1.3</v>
      </c>
      <c r="BQ41" s="1396">
        <f t="shared" si="27"/>
        <v>0</v>
      </c>
      <c r="BR41" s="1396">
        <f t="shared" si="27"/>
        <v>0</v>
      </c>
      <c r="BS41" s="1396">
        <f t="shared" si="27"/>
        <v>426.8</v>
      </c>
      <c r="BT41" s="1396">
        <f t="shared" si="27"/>
        <v>268.7</v>
      </c>
      <c r="BU41" s="1406">
        <f t="shared" si="27"/>
        <v>396.1</v>
      </c>
      <c r="BV41" s="1406">
        <f t="shared" si="27"/>
        <v>268.7</v>
      </c>
      <c r="BW41" s="1406">
        <f t="shared" si="27"/>
        <v>0</v>
      </c>
      <c r="BX41" s="1406">
        <f t="shared" si="27"/>
        <v>0</v>
      </c>
      <c r="BY41" s="1396">
        <f t="shared" si="27"/>
        <v>12.6</v>
      </c>
      <c r="BZ41" s="1396">
        <f t="shared" si="27"/>
        <v>4</v>
      </c>
      <c r="CA41" s="1396">
        <f t="shared" si="27"/>
        <v>10.7</v>
      </c>
      <c r="CB41" s="1396">
        <f t="shared" si="27"/>
        <v>4</v>
      </c>
      <c r="CC41" s="1396">
        <f t="shared" si="27"/>
        <v>0</v>
      </c>
      <c r="CD41" s="1396">
        <f t="shared" si="27"/>
        <v>0</v>
      </c>
      <c r="CE41" s="1396">
        <f t="shared" ref="CE41:CY41" si="28">SUM(CE12:CE40)</f>
        <v>2315.6</v>
      </c>
      <c r="CF41" s="1396">
        <f t="shared" si="28"/>
        <v>539.30000000000007</v>
      </c>
      <c r="CG41" s="1406">
        <f t="shared" si="28"/>
        <v>2358.8999999999996</v>
      </c>
      <c r="CH41" s="1406">
        <f t="shared" si="28"/>
        <v>537.70000000000005</v>
      </c>
      <c r="CI41" s="1406">
        <f t="shared" si="28"/>
        <v>0</v>
      </c>
      <c r="CJ41" s="1406">
        <f t="shared" si="28"/>
        <v>0</v>
      </c>
      <c r="CK41" s="1396">
        <f t="shared" si="28"/>
        <v>5788.2999999999984</v>
      </c>
      <c r="CL41" s="1396">
        <f t="shared" si="28"/>
        <v>5950.2999999999984</v>
      </c>
      <c r="CM41" s="1396">
        <f t="shared" si="28"/>
        <v>29.8</v>
      </c>
      <c r="CN41" s="1401">
        <f t="shared" si="28"/>
        <v>5705.9000000000005</v>
      </c>
      <c r="CO41" s="1401">
        <f t="shared" si="28"/>
        <v>354.2</v>
      </c>
      <c r="CP41" s="1401">
        <f t="shared" si="28"/>
        <v>-80.000000000000085</v>
      </c>
      <c r="CQ41" s="1407">
        <v>9644.1</v>
      </c>
      <c r="CR41" s="1396"/>
      <c r="CS41" s="1406">
        <f t="shared" si="28"/>
        <v>726084.80000000016</v>
      </c>
      <c r="CT41" s="1396">
        <f t="shared" si="28"/>
        <v>688351.2</v>
      </c>
      <c r="CU41" s="1396">
        <f t="shared" si="28"/>
        <v>37733.599999999999</v>
      </c>
      <c r="CV41" s="1408">
        <f t="shared" si="13"/>
        <v>10089.049999999999</v>
      </c>
      <c r="CW41" s="1396">
        <f t="shared" si="28"/>
        <v>713340</v>
      </c>
      <c r="CX41" s="1396">
        <f t="shared" si="28"/>
        <v>722483.79999999993</v>
      </c>
      <c r="CY41" s="1396">
        <f t="shared" si="28"/>
        <v>1518.3333333333333</v>
      </c>
      <c r="CZ41" s="1409">
        <f>SUM(CZ12:CZ40)</f>
        <v>3823371.5999999996</v>
      </c>
      <c r="DA41" s="1409">
        <f t="shared" ref="DA41:DE41" si="29">SUM(DA12:DA40)</f>
        <v>9789.5</v>
      </c>
      <c r="DB41" s="1409">
        <f t="shared" si="29"/>
        <v>78461.5</v>
      </c>
      <c r="DC41" s="1409">
        <f t="shared" si="29"/>
        <v>102929.09999999999</v>
      </c>
      <c r="DD41" s="1409">
        <f t="shared" si="29"/>
        <v>3720442.5000000005</v>
      </c>
      <c r="DE41" s="1409">
        <f t="shared" si="29"/>
        <v>4844016.1999999993</v>
      </c>
      <c r="DF41" s="1438">
        <f t="shared" ref="DF41" si="30">SUM(DF12:DF40)</f>
        <v>805</v>
      </c>
      <c r="DG41" s="1438">
        <f t="shared" ref="DG41:DI41" si="31">SUM(DG12:DG40)</f>
        <v>271</v>
      </c>
      <c r="DH41" s="1438">
        <f t="shared" si="31"/>
        <v>324</v>
      </c>
      <c r="DI41" s="1438">
        <f t="shared" si="31"/>
        <v>102121</v>
      </c>
      <c r="DJ41" s="1438">
        <f t="shared" ref="DJ41:DL41" si="32">SUM(DJ12:DJ40)</f>
        <v>103521</v>
      </c>
      <c r="DK41" s="1409">
        <f t="shared" si="32"/>
        <v>269143.3</v>
      </c>
      <c r="DL41" s="1441">
        <f t="shared" si="32"/>
        <v>5113159.5</v>
      </c>
      <c r="DM41" s="1442">
        <f t="shared" ref="DM41:DN41" si="33">SUM(DM12:DM40)</f>
        <v>83104.004176000017</v>
      </c>
      <c r="DN41" s="1442">
        <f t="shared" si="33"/>
        <v>83104</v>
      </c>
      <c r="DO41" s="1442">
        <f t="shared" ref="DO41:DS41" si="34">SUM(DO12:DO40)</f>
        <v>5196263.4000000004</v>
      </c>
      <c r="DP41" s="1449">
        <f t="shared" si="34"/>
        <v>5196263500</v>
      </c>
      <c r="DQ41" s="1410">
        <f>DQ40-DL41</f>
        <v>83104</v>
      </c>
      <c r="DR41" s="1449">
        <f t="shared" si="34"/>
        <v>5057853316.1199989</v>
      </c>
      <c r="DS41" s="1449">
        <f t="shared" si="34"/>
        <v>138410183.88000005</v>
      </c>
    </row>
    <row r="42" spans="1:124" ht="18.75">
      <c r="E42" s="1412">
        <f>E41+F41</f>
        <v>1279.0999999999999</v>
      </c>
      <c r="G42" s="1412">
        <f>G41+H41</f>
        <v>1278.2</v>
      </c>
      <c r="I42" s="1412">
        <f>I41+J41</f>
        <v>1234.2</v>
      </c>
      <c r="N42" s="1413">
        <f>N41/K41</f>
        <v>1.0408932757459859</v>
      </c>
      <c r="Q42" s="1412">
        <f>R41+S41</f>
        <v>601197.80000000005</v>
      </c>
      <c r="V42" s="1414">
        <f>V41+W41+X41+Y41</f>
        <v>8304.5</v>
      </c>
      <c r="AC42" s="1415">
        <v>8462.4</v>
      </c>
      <c r="AE42" s="24">
        <v>70273.8</v>
      </c>
      <c r="AF42" s="1416">
        <f>AF41*1.302</f>
        <v>3104027.7618000004</v>
      </c>
      <c r="BB42" s="24">
        <f>BB41*1.302</f>
        <v>98315.191800000001</v>
      </c>
      <c r="BU42" s="1412">
        <f>BU41+BV41</f>
        <v>664.8</v>
      </c>
      <c r="CK42">
        <f>CL38+CM38</f>
        <v>1132.3999999999999</v>
      </c>
      <c r="CL42" s="1417">
        <f>CL41+CM41</f>
        <v>5980.0999999999985</v>
      </c>
      <c r="CM42" s="1412"/>
      <c r="CN42" s="1418">
        <f>CN41+CO41</f>
        <v>6060.1</v>
      </c>
      <c r="CO42" s="1412">
        <f>CN41+CO41</f>
        <v>6060.1</v>
      </c>
      <c r="CP42" s="1412"/>
      <c r="CS42">
        <v>729320.4</v>
      </c>
      <c r="CV42" s="1419"/>
      <c r="CX42" s="1412">
        <f>CX41+CY41</f>
        <v>724002.1333333333</v>
      </c>
      <c r="CZ42" s="1420">
        <f>CS41+CJ41+CI41+CH41+CG41+BX41+BW41+BV41+BU41+BF41+BC41+AI41+AG41+N41</f>
        <v>3823371.6</v>
      </c>
      <c r="DA42" s="1420"/>
      <c r="DB42" s="1420"/>
      <c r="DC42" s="1420"/>
      <c r="DD42" s="1421"/>
      <c r="DE42" s="1421"/>
      <c r="DF42" s="1421"/>
      <c r="DG42" s="1421"/>
      <c r="DH42" s="1421"/>
      <c r="DI42" s="1421"/>
      <c r="DJ42" s="1421"/>
      <c r="DK42" s="1421"/>
      <c r="DL42" s="1443">
        <v>5058073</v>
      </c>
      <c r="DM42" s="1444">
        <v>83104</v>
      </c>
      <c r="DN42" s="1444"/>
      <c r="DO42" s="1444" t="s">
        <v>892</v>
      </c>
      <c r="DP42" s="1459">
        <f>5197917.9</f>
        <v>5197917.9000000004</v>
      </c>
    </row>
    <row r="43" spans="1:124" ht="18.75">
      <c r="I43">
        <f>G41/I41</f>
        <v>1.0322080887149381</v>
      </c>
      <c r="Q43" s="1412"/>
      <c r="R43" s="1422">
        <f>Q41/D41*I41</f>
        <v>584746.46553618344</v>
      </c>
      <c r="AC43" s="24">
        <v>8662.7000000000007</v>
      </c>
      <c r="AE43" s="24">
        <f>AE42/AC42*AC43/1.044*1.088</f>
        <v>74968.97271369987</v>
      </c>
      <c r="AF43" s="1416">
        <f>AG41+AI41</f>
        <v>2384045.9</v>
      </c>
      <c r="CL43" s="1412">
        <f>CL38+CM38</f>
        <v>1132.3999999999999</v>
      </c>
      <c r="CM43" s="1412"/>
      <c r="CN43" s="1412">
        <f>CN38+CO38</f>
        <v>1121.8</v>
      </c>
      <c r="CO43" s="1412"/>
      <c r="CP43" s="1412"/>
      <c r="CV43" s="1423"/>
      <c r="CX43" s="1412"/>
      <c r="CZ43" s="1424"/>
      <c r="DA43" s="1424"/>
      <c r="DB43" s="1424"/>
      <c r="DC43" s="1424"/>
      <c r="DD43" s="1425"/>
      <c r="DE43" s="1425"/>
      <c r="DF43" s="1425"/>
      <c r="DG43" s="1425"/>
      <c r="DH43" s="1425"/>
      <c r="DI43" s="1425"/>
      <c r="DJ43" s="1425"/>
      <c r="DK43" s="1425"/>
      <c r="DL43" s="1444">
        <f>DL41-DL42</f>
        <v>55086.5</v>
      </c>
      <c r="DM43" s="1444">
        <f>DM41-DM42</f>
        <v>4.1760000167414546E-3</v>
      </c>
      <c r="DN43" s="1444">
        <f>CS41</f>
        <v>726084.80000000016</v>
      </c>
      <c r="DO43" s="1444"/>
      <c r="DP43" s="1444"/>
    </row>
    <row r="44" spans="1:124" s="1426" customFormat="1">
      <c r="A44" s="1426" t="s">
        <v>880</v>
      </c>
      <c r="B44" s="1426">
        <v>90</v>
      </c>
      <c r="C44" s="1426">
        <v>90</v>
      </c>
      <c r="V44" s="1427"/>
      <c r="W44" s="1427"/>
      <c r="X44" s="1427"/>
      <c r="Y44" s="1427"/>
      <c r="Z44" s="1427"/>
      <c r="AA44" s="1427"/>
      <c r="AB44" s="1428"/>
      <c r="AC44" s="1429"/>
      <c r="AD44" s="1427"/>
      <c r="AE44" s="1427"/>
      <c r="AF44" s="1427"/>
      <c r="AG44" s="1427"/>
      <c r="AH44" s="1430">
        <f>AK44-AE38</f>
        <v>-163.20315293159729</v>
      </c>
      <c r="AI44" s="1430"/>
      <c r="AK44" s="1426">
        <f>AL44/AC38/12*1000</f>
        <v>25979.396847068401</v>
      </c>
      <c r="AL44" s="1431">
        <f>AL38+AN38</f>
        <v>934011.27544580307</v>
      </c>
      <c r="AP44" s="1427"/>
      <c r="AQ44" s="1427"/>
      <c r="AR44" s="1427"/>
      <c r="AS44" s="1427"/>
      <c r="AT44" s="1427"/>
      <c r="AU44" s="1427"/>
      <c r="AV44" s="1427"/>
      <c r="AW44" s="1427"/>
      <c r="AX44" s="1427"/>
      <c r="AY44" s="1427"/>
      <c r="AZ44" s="1427"/>
      <c r="BA44" s="1427"/>
      <c r="BB44" s="1427"/>
      <c r="BC44" s="1427"/>
      <c r="BD44" s="1427"/>
      <c r="BE44" s="1427"/>
      <c r="BF44" s="1427"/>
      <c r="BL44" s="1431">
        <f>BL41+BK41+BJ41+BI41++AO41+AN41+AM41+AL41</f>
        <v>2379202.0554458029</v>
      </c>
      <c r="DL44" s="1445"/>
      <c r="DM44" s="1445"/>
      <c r="DN44" s="1445">
        <v>83104</v>
      </c>
      <c r="DO44" s="1445"/>
      <c r="DP44" s="1445"/>
    </row>
    <row r="45" spans="1:124" ht="15.75">
      <c r="DN45" s="1261">
        <f>DN43+DN44</f>
        <v>809188.80000000016</v>
      </c>
      <c r="DO45" s="1446">
        <f>DN45/DN43</f>
        <v>1.1144549507165002</v>
      </c>
      <c r="DP45" s="1446"/>
    </row>
    <row r="46" spans="1:124">
      <c r="B46" s="1412">
        <f>C41-B41</f>
        <v>718</v>
      </c>
    </row>
  </sheetData>
  <mergeCells count="97">
    <mergeCell ref="BM8:BX8"/>
    <mergeCell ref="BY8:CJ8"/>
    <mergeCell ref="CW9:CY9"/>
    <mergeCell ref="B4:AO4"/>
    <mergeCell ref="AM1:AO1"/>
    <mergeCell ref="BJ1:BL1"/>
    <mergeCell ref="CK1:CM1"/>
    <mergeCell ref="CW1:CY1"/>
    <mergeCell ref="B3:AO3"/>
    <mergeCell ref="D9:F9"/>
    <mergeCell ref="G9:M9"/>
    <mergeCell ref="AV9:AW9"/>
    <mergeCell ref="BG9:BL9"/>
    <mergeCell ref="BM9:BR9"/>
    <mergeCell ref="BS9:BX9"/>
    <mergeCell ref="BY9:CD9"/>
    <mergeCell ref="A7:A11"/>
    <mergeCell ref="B7:C9"/>
    <mergeCell ref="D7:AR7"/>
    <mergeCell ref="Q9:S9"/>
    <mergeCell ref="T9:Y9"/>
    <mergeCell ref="AC9:AH9"/>
    <mergeCell ref="AJ9:AO9"/>
    <mergeCell ref="D8:S8"/>
    <mergeCell ref="T8:AO8"/>
    <mergeCell ref="AP8:BL8"/>
    <mergeCell ref="B10:B11"/>
    <mergeCell ref="C10:C11"/>
    <mergeCell ref="D10:D11"/>
    <mergeCell ref="E10:E11"/>
    <mergeCell ref="F10:F11"/>
    <mergeCell ref="AP9:AU9"/>
    <mergeCell ref="CE9:CJ9"/>
    <mergeCell ref="CK9:CM9"/>
    <mergeCell ref="CN9:CQ9"/>
    <mergeCell ref="AN10:AO10"/>
    <mergeCell ref="AP10:AQ10"/>
    <mergeCell ref="BW10:BX10"/>
    <mergeCell ref="AT10:AU10"/>
    <mergeCell ref="AX10:AY10"/>
    <mergeCell ref="BB10:BD10"/>
    <mergeCell ref="BG10:BH10"/>
    <mergeCell ref="BI10:BJ10"/>
    <mergeCell ref="BK10:BL10"/>
    <mergeCell ref="BM10:BN10"/>
    <mergeCell ref="BO10:BP10"/>
    <mergeCell ref="AR10:AS10"/>
    <mergeCell ref="BQ10:BR10"/>
    <mergeCell ref="AC10:AD10"/>
    <mergeCell ref="AF10:AH10"/>
    <mergeCell ref="AJ10:AK10"/>
    <mergeCell ref="AL10:AM10"/>
    <mergeCell ref="G10:H10"/>
    <mergeCell ref="I10:J10"/>
    <mergeCell ref="K10:M10"/>
    <mergeCell ref="N10:P10"/>
    <mergeCell ref="Q10:Q11"/>
    <mergeCell ref="S10:S11"/>
    <mergeCell ref="T10:U10"/>
    <mergeCell ref="V10:W10"/>
    <mergeCell ref="X10:Y10"/>
    <mergeCell ref="Z10:AA10"/>
    <mergeCell ref="R10:R11"/>
    <mergeCell ref="BS10:BT10"/>
    <mergeCell ref="BU10:BV10"/>
    <mergeCell ref="CR10:CR11"/>
    <mergeCell ref="BY10:BZ10"/>
    <mergeCell ref="CA10:CB10"/>
    <mergeCell ref="CC10:CD10"/>
    <mergeCell ref="CE10:CF10"/>
    <mergeCell ref="CG10:CH10"/>
    <mergeCell ref="CI10:CJ10"/>
    <mergeCell ref="CK10:CK11"/>
    <mergeCell ref="CL10:CL11"/>
    <mergeCell ref="CM10:CM11"/>
    <mergeCell ref="CN10:CO10"/>
    <mergeCell ref="CQ10:CQ11"/>
    <mergeCell ref="CT10:CU10"/>
    <mergeCell ref="CW10:CW11"/>
    <mergeCell ref="CX10:CX11"/>
    <mergeCell ref="CY10:CY11"/>
    <mergeCell ref="DD10:DD11"/>
    <mergeCell ref="CZ7:CZ11"/>
    <mergeCell ref="DC7:DC11"/>
    <mergeCell ref="CS9:CU9"/>
    <mergeCell ref="CK8:CY8"/>
    <mergeCell ref="DQ7:DQ11"/>
    <mergeCell ref="DP7:DP11"/>
    <mergeCell ref="DF7:DJ9"/>
    <mergeCell ref="DA7:DB8"/>
    <mergeCell ref="DJ10:DJ11"/>
    <mergeCell ref="DM7:DM11"/>
    <mergeCell ref="DO7:DO11"/>
    <mergeCell ref="DN7:DN11"/>
    <mergeCell ref="DK7:DK11"/>
    <mergeCell ref="DL7:DL11"/>
    <mergeCell ref="DE7:DE11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"/>
  <sheetViews>
    <sheetView tabSelected="1" topLeftCell="BW4" zoomScale="64" zoomScaleNormal="64" workbookViewId="0">
      <selection activeCell="CT8" sqref="CT8"/>
    </sheetView>
  </sheetViews>
  <sheetFormatPr defaultRowHeight="12.75"/>
  <cols>
    <col min="1" max="1" width="4.7109375" style="133" customWidth="1"/>
    <col min="2" max="2" width="22.42578125" style="133" customWidth="1"/>
    <col min="3" max="3" width="19.140625" style="133" customWidth="1"/>
    <col min="4" max="4" width="10.28515625" style="133" customWidth="1"/>
    <col min="5" max="5" width="8.7109375" style="133" customWidth="1"/>
    <col min="6" max="6" width="19.7109375" style="133" customWidth="1"/>
    <col min="7" max="7" width="17.85546875" style="133" customWidth="1"/>
    <col min="8" max="8" width="13.7109375" style="133" customWidth="1"/>
    <col min="9" max="10" width="13.28515625" style="133" customWidth="1"/>
    <col min="11" max="11" width="8.5703125" style="133" customWidth="1"/>
    <col min="12" max="12" width="13.85546875" style="133" customWidth="1"/>
    <col min="13" max="13" width="13.7109375" style="133" customWidth="1"/>
    <col min="14" max="14" width="12.7109375" style="133" customWidth="1"/>
    <col min="15" max="15" width="11.5703125" style="133" customWidth="1"/>
    <col min="16" max="16" width="13.7109375" style="133" customWidth="1"/>
    <col min="17" max="17" width="13.140625" style="133" customWidth="1"/>
    <col min="18" max="18" width="12.5703125" style="133" bestFit="1" customWidth="1"/>
    <col min="19" max="19" width="8.7109375" style="133" customWidth="1"/>
    <col min="20" max="20" width="13.140625" style="133" customWidth="1"/>
    <col min="21" max="21" width="14.140625" style="133" customWidth="1"/>
    <col min="22" max="22" width="8.85546875" style="133" customWidth="1"/>
    <col min="23" max="23" width="13.140625" style="133" customWidth="1"/>
    <col min="24" max="24" width="14.7109375" style="133" customWidth="1"/>
    <col min="25" max="25" width="9" style="133" customWidth="1"/>
    <col min="26" max="26" width="13.42578125" style="133" customWidth="1"/>
    <col min="27" max="27" width="12.5703125" style="133" bestFit="1" customWidth="1"/>
    <col min="28" max="28" width="8.28515625" style="133" customWidth="1"/>
    <col min="29" max="29" width="13.42578125" style="133" customWidth="1"/>
    <col min="30" max="30" width="12.5703125" style="133" bestFit="1" customWidth="1"/>
    <col min="31" max="31" width="9.28515625" style="133" customWidth="1"/>
    <col min="32" max="32" width="13.42578125" style="133" customWidth="1"/>
    <col min="33" max="33" width="12.5703125" style="133" bestFit="1" customWidth="1"/>
    <col min="34" max="34" width="9.42578125" style="133" customWidth="1"/>
    <col min="35" max="35" width="12.7109375" style="133" customWidth="1"/>
    <col min="36" max="37" width="13.85546875" style="133" customWidth="1"/>
    <col min="38" max="38" width="12" style="133" customWidth="1"/>
    <col min="39" max="39" width="16.42578125" style="133" customWidth="1"/>
    <col min="40" max="40" width="13.7109375" style="133" customWidth="1"/>
    <col min="41" max="41" width="11.42578125" style="133" customWidth="1"/>
    <col min="42" max="42" width="12.140625" style="133" customWidth="1"/>
    <col min="43" max="43" width="11.140625" style="133" customWidth="1"/>
    <col min="44" max="44" width="10.7109375" style="133" customWidth="1"/>
    <col min="45" max="45" width="15" style="133" customWidth="1"/>
    <col min="46" max="46" width="13.28515625" style="133" customWidth="1"/>
    <col min="47" max="47" width="12.5703125" style="133" bestFit="1" customWidth="1"/>
    <col min="48" max="48" width="8.42578125" style="133" customWidth="1"/>
    <col min="49" max="49" width="13.7109375" style="133" customWidth="1"/>
    <col min="50" max="50" width="12.5703125" style="133" bestFit="1" customWidth="1"/>
    <col min="51" max="51" width="9.140625" style="133" customWidth="1"/>
    <col min="52" max="52" width="13.42578125" style="133" customWidth="1"/>
    <col min="53" max="53" width="12.5703125" style="133" customWidth="1"/>
    <col min="54" max="54" width="9" style="133" customWidth="1"/>
    <col min="55" max="55" width="13.7109375" style="133" customWidth="1"/>
    <col min="56" max="56" width="12.5703125" style="133" bestFit="1" customWidth="1"/>
    <col min="57" max="57" width="9.140625" style="133" customWidth="1"/>
    <col min="58" max="58" width="13.85546875" style="133" customWidth="1"/>
    <col min="59" max="59" width="11" style="133" customWidth="1"/>
    <col min="60" max="60" width="8.42578125" style="133" customWidth="1"/>
    <col min="61" max="62" width="11.140625" style="133" customWidth="1"/>
    <col min="63" max="63" width="8.85546875" style="133" customWidth="1"/>
    <col min="64" max="64" width="13.28515625" style="133" customWidth="1"/>
    <col min="65" max="65" width="11.85546875" style="133" customWidth="1"/>
    <col min="66" max="66" width="8.7109375" style="133" customWidth="1"/>
    <col min="67" max="67" width="13.28515625" style="133" customWidth="1"/>
    <col min="68" max="68" width="12.5703125" style="133" customWidth="1"/>
    <col min="69" max="69" width="9.140625" style="133" customWidth="1"/>
    <col min="70" max="70" width="13.5703125" style="133" customWidth="1"/>
    <col min="71" max="71" width="12.5703125" style="133" customWidth="1"/>
    <col min="72" max="72" width="9.28515625" style="133" customWidth="1"/>
    <col min="73" max="73" width="13.5703125" style="133" customWidth="1"/>
    <col min="74" max="74" width="12.5703125" style="133" customWidth="1"/>
    <col min="75" max="75" width="8.7109375" style="133" customWidth="1"/>
    <col min="76" max="76" width="13.42578125" style="133" customWidth="1"/>
    <col min="77" max="77" width="12.5703125" style="133" customWidth="1"/>
    <col min="78" max="78" width="12.5703125" style="133" bestFit="1" customWidth="1"/>
    <col min="79" max="79" width="13.140625" style="133" customWidth="1"/>
    <col min="80" max="80" width="13" style="133" customWidth="1"/>
    <col min="81" max="81" width="11.42578125" style="133" customWidth="1"/>
    <col min="82" max="82" width="13.85546875" style="133" customWidth="1"/>
    <col min="83" max="83" width="12.5703125" style="133" customWidth="1"/>
    <col min="84" max="84" width="9.28515625" style="133" customWidth="1"/>
    <col min="85" max="85" width="13.28515625" style="133" customWidth="1"/>
    <col min="86" max="86" width="12.5703125" style="133" customWidth="1"/>
    <col min="87" max="87" width="8.85546875" style="133" customWidth="1"/>
    <col min="88" max="88" width="14" style="133" customWidth="1"/>
    <col min="89" max="89" width="12.5703125" style="133" customWidth="1"/>
    <col min="90" max="90" width="9.28515625" style="133" customWidth="1"/>
    <col min="91" max="91" width="13.42578125" style="133" customWidth="1"/>
    <col min="92" max="92" width="12.5703125" style="133" customWidth="1"/>
    <col min="93" max="93" width="9.28515625" style="133" customWidth="1"/>
    <col min="94" max="94" width="13.7109375" style="133" customWidth="1"/>
    <col min="95" max="95" width="12.5703125" style="133" customWidth="1"/>
    <col min="96" max="96" width="9.42578125" style="133" customWidth="1"/>
    <col min="97" max="97" width="13.7109375" style="133" customWidth="1"/>
    <col min="98" max="98" width="12.5703125" style="133" customWidth="1"/>
    <col min="99" max="99" width="9.28515625" style="133" customWidth="1"/>
  </cols>
  <sheetData>
    <row r="1" spans="1:100" ht="45" customHeight="1" thickBot="1">
      <c r="B1" s="1881"/>
      <c r="C1" s="1881"/>
      <c r="D1" s="1881"/>
      <c r="E1" s="1881"/>
      <c r="F1" s="1881"/>
      <c r="G1" s="1881"/>
      <c r="H1" s="1881"/>
      <c r="I1" s="1881"/>
      <c r="J1" s="1881"/>
      <c r="K1" s="1881"/>
      <c r="L1" s="1881"/>
      <c r="M1" s="1881"/>
      <c r="N1" s="1881"/>
      <c r="O1" s="1881"/>
      <c r="P1" s="1881"/>
      <c r="Q1" s="1881"/>
      <c r="R1" s="1881"/>
      <c r="S1" s="1881"/>
      <c r="T1" s="1881"/>
      <c r="U1" s="1881"/>
      <c r="V1" s="1881"/>
      <c r="W1" s="1881"/>
      <c r="X1" s="1881"/>
      <c r="Y1" s="1472"/>
    </row>
    <row r="2" spans="1:100">
      <c r="B2" s="1880" t="s">
        <v>900</v>
      </c>
      <c r="C2" s="1880"/>
      <c r="D2" s="1880"/>
      <c r="E2" s="1880"/>
      <c r="F2" s="1880"/>
      <c r="G2" s="1880"/>
      <c r="H2" s="1880"/>
      <c r="I2" s="1880"/>
      <c r="J2" s="1880"/>
      <c r="K2" s="1880"/>
      <c r="L2" s="1880"/>
      <c r="M2" s="1880"/>
      <c r="N2" s="1880"/>
      <c r="O2" s="1880"/>
      <c r="P2" s="1880"/>
      <c r="Q2" s="1880"/>
      <c r="R2" s="1880"/>
      <c r="S2" s="1880"/>
      <c r="T2" s="1880"/>
      <c r="U2" s="1880"/>
      <c r="V2" s="1880"/>
      <c r="W2" s="1880"/>
      <c r="X2" s="1880"/>
      <c r="Y2" s="1473"/>
    </row>
    <row r="3" spans="1:100" ht="19.5" thickBot="1">
      <c r="A3" s="81"/>
      <c r="B3" s="81"/>
      <c r="C3" s="1891"/>
      <c r="D3" s="1891"/>
      <c r="E3" s="1891"/>
      <c r="F3" s="1891"/>
      <c r="G3" s="1891"/>
      <c r="H3" s="1891"/>
      <c r="I3" s="1891"/>
      <c r="J3" s="1891"/>
      <c r="K3" s="1891"/>
      <c r="L3" s="1891"/>
      <c r="M3" s="1891"/>
      <c r="N3" s="1891"/>
      <c r="O3" s="1891"/>
      <c r="P3" s="1891"/>
      <c r="Q3" s="1891"/>
      <c r="R3" s="1891"/>
      <c r="S3" s="1891"/>
      <c r="T3" s="1891"/>
      <c r="U3" s="1891"/>
      <c r="V3" s="1891"/>
      <c r="W3" s="1891"/>
      <c r="X3" s="1891"/>
      <c r="Y3" s="1891"/>
      <c r="Z3" s="1891"/>
      <c r="AA3" s="1891"/>
      <c r="AB3" s="1891"/>
      <c r="AC3" s="1891"/>
      <c r="AD3" s="1481"/>
      <c r="AE3" s="1481"/>
      <c r="AF3" s="1474"/>
      <c r="AG3" s="1474"/>
      <c r="AH3" s="1474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</row>
    <row r="4" spans="1:100" ht="81.75" customHeight="1">
      <c r="A4" s="1851" t="s">
        <v>319</v>
      </c>
      <c r="B4" s="1854" t="s">
        <v>899</v>
      </c>
      <c r="C4" s="1874" t="s">
        <v>917</v>
      </c>
      <c r="D4" s="1875"/>
      <c r="E4" s="1875"/>
      <c r="F4" s="1875"/>
      <c r="G4" s="1875"/>
      <c r="H4" s="1875"/>
      <c r="I4" s="1875"/>
      <c r="J4" s="1875"/>
      <c r="K4" s="1875"/>
      <c r="L4" s="1875"/>
      <c r="M4" s="1875"/>
      <c r="N4" s="1875"/>
      <c r="O4" s="1875"/>
      <c r="P4" s="1875"/>
      <c r="Q4" s="1875"/>
      <c r="R4" s="1875"/>
      <c r="S4" s="1875"/>
      <c r="T4" s="1875"/>
      <c r="U4" s="1875"/>
      <c r="V4" s="1875"/>
      <c r="W4" s="1875"/>
      <c r="X4" s="1875"/>
      <c r="Y4" s="1875"/>
      <c r="Z4" s="1875"/>
      <c r="AA4" s="1875"/>
      <c r="AB4" s="1875"/>
      <c r="AC4" s="1875"/>
      <c r="AD4" s="1875"/>
      <c r="AE4" s="1875"/>
      <c r="AF4" s="1875"/>
      <c r="AG4" s="1875"/>
      <c r="AH4" s="1875"/>
      <c r="AI4" s="1875"/>
      <c r="AJ4" s="1875"/>
      <c r="AK4" s="1875"/>
      <c r="AL4" s="1875"/>
      <c r="AM4" s="1875"/>
      <c r="AN4" s="1875"/>
      <c r="AO4" s="1875"/>
      <c r="AP4" s="1875"/>
      <c r="AQ4" s="1875"/>
      <c r="AR4" s="1875"/>
      <c r="AS4" s="1875"/>
      <c r="AT4" s="1875"/>
      <c r="AU4" s="1875"/>
      <c r="AV4" s="1875"/>
      <c r="AW4" s="1875"/>
      <c r="AX4" s="1875"/>
      <c r="AY4" s="1875"/>
      <c r="AZ4" s="1875"/>
      <c r="BA4" s="1875"/>
      <c r="BB4" s="1875"/>
      <c r="BC4" s="1875"/>
      <c r="BD4" s="1875"/>
      <c r="BE4" s="1875"/>
      <c r="BF4" s="1875"/>
      <c r="BG4" s="1875"/>
      <c r="BH4" s="1875"/>
      <c r="BI4" s="1875"/>
      <c r="BJ4" s="1875"/>
      <c r="BK4" s="1875"/>
      <c r="BL4" s="1875"/>
      <c r="BM4" s="1875"/>
      <c r="BN4" s="1876"/>
      <c r="BO4" s="1867" t="s">
        <v>918</v>
      </c>
      <c r="BP4" s="1868"/>
      <c r="BQ4" s="1869"/>
      <c r="BR4" s="1869"/>
      <c r="BS4" s="1869"/>
      <c r="BT4" s="1869"/>
      <c r="BU4" s="1869"/>
      <c r="BV4" s="1869"/>
      <c r="BW4" s="1869"/>
      <c r="BX4" s="1869"/>
      <c r="BY4" s="1869"/>
      <c r="BZ4" s="1869"/>
      <c r="CA4" s="1869"/>
      <c r="CB4" s="1869"/>
      <c r="CC4" s="1870"/>
      <c r="CD4" s="1609" t="s">
        <v>919</v>
      </c>
      <c r="CE4" s="1610"/>
      <c r="CF4" s="1882"/>
      <c r="CG4" s="1882"/>
      <c r="CH4" s="1882"/>
      <c r="CI4" s="1882"/>
      <c r="CJ4" s="1882"/>
      <c r="CK4" s="1882"/>
      <c r="CL4" s="1883"/>
      <c r="CM4" s="1584" t="s">
        <v>920</v>
      </c>
      <c r="CN4" s="1584"/>
      <c r="CO4" s="1887"/>
      <c r="CP4" s="1887"/>
      <c r="CQ4" s="1887"/>
      <c r="CR4" s="1887"/>
      <c r="CS4" s="1887"/>
      <c r="CT4" s="1887"/>
      <c r="CU4" s="1887"/>
      <c r="CV4" s="1857" t="s">
        <v>901</v>
      </c>
    </row>
    <row r="5" spans="1:100" ht="60" customHeight="1">
      <c r="A5" s="1852"/>
      <c r="B5" s="1723"/>
      <c r="C5" s="1600" t="s">
        <v>329</v>
      </c>
      <c r="D5" s="1889"/>
      <c r="E5" s="1889"/>
      <c r="F5" s="1889"/>
      <c r="G5" s="1889"/>
      <c r="H5" s="1889"/>
      <c r="I5" s="1889"/>
      <c r="J5" s="1889"/>
      <c r="K5" s="1889"/>
      <c r="L5" s="1889"/>
      <c r="M5" s="1889"/>
      <c r="N5" s="1889"/>
      <c r="O5" s="1889"/>
      <c r="P5" s="1890"/>
      <c r="Q5" s="1600" t="s">
        <v>330</v>
      </c>
      <c r="R5" s="1872"/>
      <c r="S5" s="1872"/>
      <c r="T5" s="1872"/>
      <c r="U5" s="1872"/>
      <c r="V5" s="1872"/>
      <c r="W5" s="1872"/>
      <c r="X5" s="1872"/>
      <c r="Y5" s="1892"/>
      <c r="Z5" s="1600" t="s">
        <v>331</v>
      </c>
      <c r="AA5" s="1872"/>
      <c r="AB5" s="1872"/>
      <c r="AC5" s="1872"/>
      <c r="AD5" s="1872"/>
      <c r="AE5" s="1872"/>
      <c r="AF5" s="1872"/>
      <c r="AG5" s="1872"/>
      <c r="AH5" s="1892"/>
      <c r="AI5" s="1600" t="s">
        <v>332</v>
      </c>
      <c r="AJ5" s="1872"/>
      <c r="AK5" s="1872"/>
      <c r="AL5" s="1872"/>
      <c r="AM5" s="1871" t="s">
        <v>891</v>
      </c>
      <c r="AN5" s="1872"/>
      <c r="AO5" s="1872"/>
      <c r="AP5" s="1872"/>
      <c r="AQ5" s="1872"/>
      <c r="AR5" s="1873"/>
      <c r="AS5" s="1479" t="s">
        <v>897</v>
      </c>
      <c r="AT5" s="1600" t="s">
        <v>333</v>
      </c>
      <c r="AU5" s="1872"/>
      <c r="AV5" s="1872"/>
      <c r="AW5" s="1872"/>
      <c r="AX5" s="1872"/>
      <c r="AY5" s="1872"/>
      <c r="AZ5" s="1872"/>
      <c r="BA5" s="1872"/>
      <c r="BB5" s="1873"/>
      <c r="BC5" s="1600" t="s">
        <v>334</v>
      </c>
      <c r="BD5" s="1824"/>
      <c r="BE5" s="1824"/>
      <c r="BF5" s="1824"/>
      <c r="BG5" s="1824"/>
      <c r="BH5" s="1824"/>
      <c r="BI5" s="1824"/>
      <c r="BJ5" s="1824"/>
      <c r="BK5" s="1825"/>
      <c r="BL5" s="1600" t="s">
        <v>335</v>
      </c>
      <c r="BM5" s="1601"/>
      <c r="BN5" s="1825"/>
      <c r="BO5" s="1600" t="s">
        <v>336</v>
      </c>
      <c r="BP5" s="1601"/>
      <c r="BQ5" s="1824"/>
      <c r="BR5" s="1824"/>
      <c r="BS5" s="1824"/>
      <c r="BT5" s="1824"/>
      <c r="BU5" s="1824"/>
      <c r="BV5" s="1824"/>
      <c r="BW5" s="1825"/>
      <c r="BX5" s="1600" t="s">
        <v>337</v>
      </c>
      <c r="BY5" s="1601"/>
      <c r="BZ5" s="1824"/>
      <c r="CA5" s="1824"/>
      <c r="CB5" s="1824"/>
      <c r="CC5" s="1825"/>
      <c r="CD5" s="1884"/>
      <c r="CE5" s="1885"/>
      <c r="CF5" s="1885"/>
      <c r="CG5" s="1885"/>
      <c r="CH5" s="1885"/>
      <c r="CI5" s="1885"/>
      <c r="CJ5" s="1885"/>
      <c r="CK5" s="1885"/>
      <c r="CL5" s="1886"/>
      <c r="CM5" s="1888"/>
      <c r="CN5" s="1888"/>
      <c r="CO5" s="1888"/>
      <c r="CP5" s="1888"/>
      <c r="CQ5" s="1888"/>
      <c r="CR5" s="1888"/>
      <c r="CS5" s="1888"/>
      <c r="CT5" s="1888"/>
      <c r="CU5" s="1888"/>
      <c r="CV5" s="1858"/>
    </row>
    <row r="6" spans="1:100" s="1467" customFormat="1" ht="39">
      <c r="A6" s="1852"/>
      <c r="B6" s="1723"/>
      <c r="C6" s="1864" t="s">
        <v>904</v>
      </c>
      <c r="D6" s="1865"/>
      <c r="E6" s="1865"/>
      <c r="F6" s="1865"/>
      <c r="G6" s="1865"/>
      <c r="H6" s="1879"/>
      <c r="I6" s="1864" t="s">
        <v>905</v>
      </c>
      <c r="J6" s="1824"/>
      <c r="K6" s="1824"/>
      <c r="L6" s="1825"/>
      <c r="M6" s="1864" t="s">
        <v>906</v>
      </c>
      <c r="N6" s="1824"/>
      <c r="O6" s="1824"/>
      <c r="P6" s="1825"/>
      <c r="Q6" s="1864" t="s">
        <v>904</v>
      </c>
      <c r="R6" s="1824"/>
      <c r="S6" s="1866"/>
      <c r="T6" s="1864" t="s">
        <v>905</v>
      </c>
      <c r="U6" s="1824"/>
      <c r="V6" s="1866"/>
      <c r="W6" s="1864" t="s">
        <v>907</v>
      </c>
      <c r="X6" s="1824"/>
      <c r="Y6" s="1866"/>
      <c r="Z6" s="1864" t="s">
        <v>904</v>
      </c>
      <c r="AA6" s="1824"/>
      <c r="AB6" s="1866"/>
      <c r="AC6" s="1864" t="s">
        <v>905</v>
      </c>
      <c r="AD6" s="1824"/>
      <c r="AE6" s="1866"/>
      <c r="AF6" s="1864" t="s">
        <v>907</v>
      </c>
      <c r="AG6" s="1824"/>
      <c r="AH6" s="1866"/>
      <c r="AI6" s="1864" t="s">
        <v>908</v>
      </c>
      <c r="AJ6" s="1824"/>
      <c r="AK6" s="1825"/>
      <c r="AL6" s="1478" t="s">
        <v>905</v>
      </c>
      <c r="AM6" s="1864" t="s">
        <v>904</v>
      </c>
      <c r="AN6" s="1824"/>
      <c r="AO6" s="1824"/>
      <c r="AP6" s="1825"/>
      <c r="AQ6" s="1478" t="s">
        <v>905</v>
      </c>
      <c r="AR6" s="1478" t="s">
        <v>907</v>
      </c>
      <c r="AS6" s="1468" t="s">
        <v>904</v>
      </c>
      <c r="AT6" s="1864" t="s">
        <v>904</v>
      </c>
      <c r="AU6" s="1824"/>
      <c r="AV6" s="1866"/>
      <c r="AW6" s="1864" t="s">
        <v>909</v>
      </c>
      <c r="AX6" s="1824"/>
      <c r="AY6" s="1866"/>
      <c r="AZ6" s="1864" t="s">
        <v>906</v>
      </c>
      <c r="BA6" s="1865"/>
      <c r="BB6" s="1825"/>
      <c r="BC6" s="1864" t="s">
        <v>904</v>
      </c>
      <c r="BD6" s="1824"/>
      <c r="BE6" s="1866"/>
      <c r="BF6" s="1864" t="s">
        <v>905</v>
      </c>
      <c r="BG6" s="1824"/>
      <c r="BH6" s="1866"/>
      <c r="BI6" s="1864" t="s">
        <v>907</v>
      </c>
      <c r="BJ6" s="1865"/>
      <c r="BK6" s="1825"/>
      <c r="BL6" s="1639" t="s">
        <v>910</v>
      </c>
      <c r="BM6" s="1878"/>
      <c r="BN6" s="1825"/>
      <c r="BO6" s="1864" t="s">
        <v>904</v>
      </c>
      <c r="BP6" s="1865"/>
      <c r="BQ6" s="1825"/>
      <c r="BR6" s="1864" t="s">
        <v>909</v>
      </c>
      <c r="BS6" s="1865"/>
      <c r="BT6" s="1825"/>
      <c r="BU6" s="1864" t="s">
        <v>907</v>
      </c>
      <c r="BV6" s="1865"/>
      <c r="BW6" s="1825"/>
      <c r="BX6" s="1864" t="s">
        <v>904</v>
      </c>
      <c r="BY6" s="1865"/>
      <c r="BZ6" s="1825"/>
      <c r="CA6" s="1864" t="s">
        <v>905</v>
      </c>
      <c r="CB6" s="1865"/>
      <c r="CC6" s="1825"/>
      <c r="CD6" s="1864" t="s">
        <v>904</v>
      </c>
      <c r="CE6" s="1865"/>
      <c r="CF6" s="1825"/>
      <c r="CG6" s="1864" t="s">
        <v>905</v>
      </c>
      <c r="CH6" s="1865"/>
      <c r="CI6" s="1825"/>
      <c r="CJ6" s="1864" t="s">
        <v>907</v>
      </c>
      <c r="CK6" s="1865"/>
      <c r="CL6" s="1825"/>
      <c r="CM6" s="1864" t="s">
        <v>908</v>
      </c>
      <c r="CN6" s="1865"/>
      <c r="CO6" s="1825"/>
      <c r="CP6" s="1864" t="s">
        <v>905</v>
      </c>
      <c r="CQ6" s="1865"/>
      <c r="CR6" s="1825"/>
      <c r="CS6" s="1862" t="s">
        <v>907</v>
      </c>
      <c r="CT6" s="1862"/>
      <c r="CU6" s="1863"/>
      <c r="CV6" s="1859"/>
    </row>
    <row r="7" spans="1:100" ht="258.75" customHeight="1">
      <c r="A7" s="1853"/>
      <c r="B7" s="1724"/>
      <c r="C7" s="1460" t="s">
        <v>922</v>
      </c>
      <c r="D7" s="1460" t="s">
        <v>902</v>
      </c>
      <c r="E7" s="1460" t="s">
        <v>903</v>
      </c>
      <c r="F7" s="1461" t="s">
        <v>893</v>
      </c>
      <c r="G7" s="1461" t="s">
        <v>894</v>
      </c>
      <c r="H7" s="1461" t="s">
        <v>895</v>
      </c>
      <c r="I7" s="1460" t="s">
        <v>923</v>
      </c>
      <c r="J7" s="1460" t="s">
        <v>902</v>
      </c>
      <c r="K7" s="1460" t="s">
        <v>903</v>
      </c>
      <c r="L7" s="1461" t="s">
        <v>895</v>
      </c>
      <c r="M7" s="1460" t="s">
        <v>923</v>
      </c>
      <c r="N7" s="1460" t="s">
        <v>902</v>
      </c>
      <c r="O7" s="1460" t="s">
        <v>903</v>
      </c>
      <c r="P7" s="1461" t="s">
        <v>895</v>
      </c>
      <c r="Q7" s="1460" t="s">
        <v>923</v>
      </c>
      <c r="R7" s="1460" t="s">
        <v>902</v>
      </c>
      <c r="S7" s="1460" t="s">
        <v>903</v>
      </c>
      <c r="T7" s="1460" t="s">
        <v>923</v>
      </c>
      <c r="U7" s="1460" t="s">
        <v>902</v>
      </c>
      <c r="V7" s="1460" t="s">
        <v>903</v>
      </c>
      <c r="W7" s="1460" t="s">
        <v>923</v>
      </c>
      <c r="X7" s="1460" t="s">
        <v>902</v>
      </c>
      <c r="Y7" s="1460" t="s">
        <v>903</v>
      </c>
      <c r="Z7" s="1460" t="s">
        <v>923</v>
      </c>
      <c r="AA7" s="1460" t="s">
        <v>902</v>
      </c>
      <c r="AB7" s="1460" t="s">
        <v>903</v>
      </c>
      <c r="AC7" s="1460" t="s">
        <v>923</v>
      </c>
      <c r="AD7" s="1460" t="s">
        <v>902</v>
      </c>
      <c r="AE7" s="1460" t="s">
        <v>903</v>
      </c>
      <c r="AF7" s="1460" t="s">
        <v>923</v>
      </c>
      <c r="AG7" s="1460" t="s">
        <v>902</v>
      </c>
      <c r="AH7" s="1460" t="s">
        <v>903</v>
      </c>
      <c r="AI7" s="1460" t="s">
        <v>924</v>
      </c>
      <c r="AJ7" s="1461" t="s">
        <v>893</v>
      </c>
      <c r="AK7" s="1461" t="s">
        <v>894</v>
      </c>
      <c r="AL7" s="1460" t="s">
        <v>898</v>
      </c>
      <c r="AM7" s="1460" t="s">
        <v>924</v>
      </c>
      <c r="AN7" s="1461" t="s">
        <v>893</v>
      </c>
      <c r="AO7" s="1461" t="s">
        <v>894</v>
      </c>
      <c r="AP7" s="1461" t="s">
        <v>896</v>
      </c>
      <c r="AQ7" s="1460" t="s">
        <v>898</v>
      </c>
      <c r="AR7" s="1460" t="s">
        <v>898</v>
      </c>
      <c r="AS7" s="1461" t="s">
        <v>896</v>
      </c>
      <c r="AT7" s="1460" t="s">
        <v>923</v>
      </c>
      <c r="AU7" s="1460" t="s">
        <v>902</v>
      </c>
      <c r="AV7" s="1460" t="s">
        <v>903</v>
      </c>
      <c r="AW7" s="1460" t="s">
        <v>923</v>
      </c>
      <c r="AX7" s="1460" t="s">
        <v>902</v>
      </c>
      <c r="AY7" s="1460" t="s">
        <v>903</v>
      </c>
      <c r="AZ7" s="1460" t="s">
        <v>923</v>
      </c>
      <c r="BA7" s="1460" t="s">
        <v>902</v>
      </c>
      <c r="BB7" s="1460" t="s">
        <v>903</v>
      </c>
      <c r="BC7" s="1460" t="s">
        <v>923</v>
      </c>
      <c r="BD7" s="1460" t="s">
        <v>902</v>
      </c>
      <c r="BE7" s="1460" t="s">
        <v>903</v>
      </c>
      <c r="BF7" s="1460" t="s">
        <v>923</v>
      </c>
      <c r="BG7" s="1460" t="s">
        <v>902</v>
      </c>
      <c r="BH7" s="1460" t="s">
        <v>903</v>
      </c>
      <c r="BI7" s="1460" t="s">
        <v>826</v>
      </c>
      <c r="BJ7" s="1460" t="s">
        <v>902</v>
      </c>
      <c r="BK7" s="1460" t="s">
        <v>903</v>
      </c>
      <c r="BL7" s="1460" t="s">
        <v>923</v>
      </c>
      <c r="BM7" s="1460" t="s">
        <v>902</v>
      </c>
      <c r="BN7" s="1460" t="s">
        <v>903</v>
      </c>
      <c r="BO7" s="1460" t="s">
        <v>826</v>
      </c>
      <c r="BP7" s="1460" t="s">
        <v>902</v>
      </c>
      <c r="BQ7" s="1460" t="s">
        <v>903</v>
      </c>
      <c r="BR7" s="1460" t="s">
        <v>826</v>
      </c>
      <c r="BS7" s="1460" t="s">
        <v>902</v>
      </c>
      <c r="BT7" s="1460" t="s">
        <v>903</v>
      </c>
      <c r="BU7" s="1460" t="s">
        <v>826</v>
      </c>
      <c r="BV7" s="1460" t="s">
        <v>902</v>
      </c>
      <c r="BW7" s="1460" t="s">
        <v>903</v>
      </c>
      <c r="BX7" s="1460" t="s">
        <v>826</v>
      </c>
      <c r="BY7" s="1460" t="s">
        <v>902</v>
      </c>
      <c r="BZ7" s="1460" t="s">
        <v>903</v>
      </c>
      <c r="CA7" s="1460" t="s">
        <v>826</v>
      </c>
      <c r="CB7" s="1460" t="s">
        <v>902</v>
      </c>
      <c r="CC7" s="1460" t="s">
        <v>903</v>
      </c>
      <c r="CD7" s="1460" t="s">
        <v>923</v>
      </c>
      <c r="CE7" s="1460" t="s">
        <v>902</v>
      </c>
      <c r="CF7" s="1460" t="s">
        <v>903</v>
      </c>
      <c r="CG7" s="1460" t="s">
        <v>923</v>
      </c>
      <c r="CH7" s="1460" t="s">
        <v>902</v>
      </c>
      <c r="CI7" s="1460" t="s">
        <v>903</v>
      </c>
      <c r="CJ7" s="1460" t="s">
        <v>923</v>
      </c>
      <c r="CK7" s="1460" t="s">
        <v>902</v>
      </c>
      <c r="CL7" s="1460" t="s">
        <v>903</v>
      </c>
      <c r="CM7" s="1460" t="s">
        <v>923</v>
      </c>
      <c r="CN7" s="1460" t="s">
        <v>902</v>
      </c>
      <c r="CO7" s="1460" t="s">
        <v>903</v>
      </c>
      <c r="CP7" s="1460" t="s">
        <v>923</v>
      </c>
      <c r="CQ7" s="1460" t="s">
        <v>902</v>
      </c>
      <c r="CR7" s="1460" t="s">
        <v>903</v>
      </c>
      <c r="CS7" s="1460" t="s">
        <v>923</v>
      </c>
      <c r="CT7" s="1460" t="s">
        <v>902</v>
      </c>
      <c r="CU7" s="1460" t="s">
        <v>903</v>
      </c>
      <c r="CV7" s="1482"/>
    </row>
    <row r="8" spans="1:100" ht="105.75" customHeight="1">
      <c r="A8" s="1469">
        <v>1</v>
      </c>
      <c r="B8" s="1462" t="s">
        <v>927</v>
      </c>
      <c r="C8" s="1480">
        <v>231</v>
      </c>
      <c r="D8" s="1480">
        <v>1</v>
      </c>
      <c r="E8" s="1480">
        <v>21</v>
      </c>
      <c r="F8" s="1480">
        <v>0</v>
      </c>
      <c r="G8" s="1480">
        <v>0</v>
      </c>
      <c r="H8" s="1480">
        <v>1</v>
      </c>
      <c r="I8" s="1480">
        <v>275</v>
      </c>
      <c r="J8" s="1480">
        <v>0</v>
      </c>
      <c r="K8" s="1480">
        <v>33</v>
      </c>
      <c r="L8" s="1480">
        <v>0</v>
      </c>
      <c r="M8" s="1480">
        <v>26</v>
      </c>
      <c r="N8" s="1480">
        <v>0</v>
      </c>
      <c r="O8" s="1480">
        <v>0</v>
      </c>
      <c r="P8" s="1480">
        <v>0</v>
      </c>
      <c r="Q8" s="1480">
        <v>0</v>
      </c>
      <c r="R8" s="1480">
        <v>0</v>
      </c>
      <c r="S8" s="1480">
        <v>0</v>
      </c>
      <c r="T8" s="1480">
        <v>49</v>
      </c>
      <c r="U8" s="1480">
        <v>0</v>
      </c>
      <c r="V8" s="1480">
        <v>4</v>
      </c>
      <c r="W8" s="1480">
        <v>0</v>
      </c>
      <c r="X8" s="1480">
        <v>0</v>
      </c>
      <c r="Y8" s="1480">
        <v>0</v>
      </c>
      <c r="Z8" s="1480">
        <v>0</v>
      </c>
      <c r="AA8" s="1480">
        <v>0</v>
      </c>
      <c r="AB8" s="1480">
        <v>0</v>
      </c>
      <c r="AC8" s="1480">
        <v>0</v>
      </c>
      <c r="AD8" s="1480">
        <v>0</v>
      </c>
      <c r="AE8" s="1480">
        <v>0</v>
      </c>
      <c r="AF8" s="1480">
        <v>0</v>
      </c>
      <c r="AG8" s="1480">
        <v>0</v>
      </c>
      <c r="AH8" s="1480">
        <v>0</v>
      </c>
      <c r="AI8" s="1480">
        <v>0</v>
      </c>
      <c r="AJ8" s="1480">
        <v>0</v>
      </c>
      <c r="AK8" s="1480">
        <v>0</v>
      </c>
      <c r="AL8" s="1480">
        <v>0</v>
      </c>
      <c r="AM8" s="1480">
        <v>0</v>
      </c>
      <c r="AN8" s="1480">
        <v>0</v>
      </c>
      <c r="AO8" s="1480">
        <v>0</v>
      </c>
      <c r="AP8" s="1480">
        <v>0</v>
      </c>
      <c r="AQ8" s="1480">
        <v>0</v>
      </c>
      <c r="AR8" s="1480">
        <v>0</v>
      </c>
      <c r="AS8" s="1480">
        <v>0</v>
      </c>
      <c r="AT8" s="1480">
        <v>1</v>
      </c>
      <c r="AU8" s="1480">
        <v>1</v>
      </c>
      <c r="AV8" s="1480">
        <v>2</v>
      </c>
      <c r="AW8" s="1480">
        <v>2</v>
      </c>
      <c r="AX8" s="1480">
        <v>4</v>
      </c>
      <c r="AY8" s="1480">
        <v>1</v>
      </c>
      <c r="AZ8" s="1480">
        <v>0</v>
      </c>
      <c r="BA8" s="1480">
        <v>1</v>
      </c>
      <c r="BB8" s="1480">
        <v>0</v>
      </c>
      <c r="BC8" s="1480">
        <v>0</v>
      </c>
      <c r="BD8" s="1480">
        <v>0</v>
      </c>
      <c r="BE8" s="1480">
        <v>0</v>
      </c>
      <c r="BF8" s="1480">
        <v>0</v>
      </c>
      <c r="BG8" s="1480">
        <v>0</v>
      </c>
      <c r="BH8" s="1480">
        <v>0</v>
      </c>
      <c r="BI8" s="1480">
        <v>0</v>
      </c>
      <c r="BJ8" s="1480">
        <v>0</v>
      </c>
      <c r="BK8" s="1480">
        <v>0</v>
      </c>
      <c r="BL8" s="1480">
        <v>0</v>
      </c>
      <c r="BM8" s="1480">
        <v>0</v>
      </c>
      <c r="BN8" s="1480">
        <v>0</v>
      </c>
      <c r="BO8" s="1480">
        <v>0</v>
      </c>
      <c r="BP8" s="1480">
        <v>0</v>
      </c>
      <c r="BQ8" s="1480">
        <v>0</v>
      </c>
      <c r="BR8" s="1480">
        <v>0</v>
      </c>
      <c r="BS8" s="1480">
        <v>0</v>
      </c>
      <c r="BT8" s="1480">
        <v>0</v>
      </c>
      <c r="BU8" s="1480">
        <v>0</v>
      </c>
      <c r="BV8" s="1480">
        <v>0</v>
      </c>
      <c r="BW8" s="1480">
        <v>0</v>
      </c>
      <c r="BX8" s="1480">
        <v>0</v>
      </c>
      <c r="BY8" s="1480">
        <v>0</v>
      </c>
      <c r="BZ8" s="1480">
        <v>0</v>
      </c>
      <c r="CA8" s="1480">
        <v>0</v>
      </c>
      <c r="CB8" s="1480">
        <v>0</v>
      </c>
      <c r="CC8" s="1480">
        <v>0</v>
      </c>
      <c r="CD8" s="1480">
        <v>0</v>
      </c>
      <c r="CE8" s="1480">
        <v>0</v>
      </c>
      <c r="CF8" s="1480">
        <v>0</v>
      </c>
      <c r="CG8" s="1480">
        <v>0</v>
      </c>
      <c r="CH8" s="1480">
        <v>0</v>
      </c>
      <c r="CI8" s="1480">
        <v>0</v>
      </c>
      <c r="CJ8" s="1480">
        <v>0</v>
      </c>
      <c r="CK8" s="1480">
        <v>0</v>
      </c>
      <c r="CL8" s="1480">
        <v>0</v>
      </c>
      <c r="CM8" s="1480">
        <v>0</v>
      </c>
      <c r="CN8" s="1480">
        <v>0</v>
      </c>
      <c r="CO8" s="1480">
        <v>0</v>
      </c>
      <c r="CP8" s="1480">
        <v>0</v>
      </c>
      <c r="CQ8" s="1480">
        <v>0</v>
      </c>
      <c r="CR8" s="1480">
        <v>0</v>
      </c>
      <c r="CS8" s="1480">
        <v>0</v>
      </c>
      <c r="CT8" s="1480">
        <v>0</v>
      </c>
      <c r="CU8" s="1480">
        <v>0</v>
      </c>
      <c r="CV8" s="1483">
        <f>SUM(C8:CU8)</f>
        <v>653</v>
      </c>
    </row>
    <row r="9" spans="1:100" ht="36.950000000000003" customHeight="1">
      <c r="A9" s="1469">
        <v>2</v>
      </c>
      <c r="B9" s="1462" t="s">
        <v>926</v>
      </c>
      <c r="C9" s="1480">
        <v>208</v>
      </c>
      <c r="D9" s="1480">
        <v>1</v>
      </c>
      <c r="E9" s="1480">
        <v>19</v>
      </c>
      <c r="F9" s="1480">
        <v>0</v>
      </c>
      <c r="G9" s="1480">
        <v>0</v>
      </c>
      <c r="H9" s="1480">
        <v>0</v>
      </c>
      <c r="I9" s="1480">
        <v>273</v>
      </c>
      <c r="J9" s="1480">
        <v>0</v>
      </c>
      <c r="K9" s="1480">
        <v>33</v>
      </c>
      <c r="L9" s="1480">
        <v>0</v>
      </c>
      <c r="M9" s="1480">
        <v>25</v>
      </c>
      <c r="N9" s="1480">
        <v>0</v>
      </c>
      <c r="O9" s="1480">
        <v>0</v>
      </c>
      <c r="P9" s="1480">
        <v>0</v>
      </c>
      <c r="Q9" s="1480">
        <v>0</v>
      </c>
      <c r="R9" s="1480">
        <v>0</v>
      </c>
      <c r="S9" s="1480">
        <v>0</v>
      </c>
      <c r="T9" s="1480">
        <v>72</v>
      </c>
      <c r="U9" s="1480">
        <v>0</v>
      </c>
      <c r="V9" s="1480">
        <v>6</v>
      </c>
      <c r="W9" s="1480">
        <v>0</v>
      </c>
      <c r="X9" s="1480">
        <v>0</v>
      </c>
      <c r="Y9" s="1480">
        <v>0</v>
      </c>
      <c r="Z9" s="1480">
        <v>0</v>
      </c>
      <c r="AA9" s="1480">
        <v>0</v>
      </c>
      <c r="AB9" s="1480">
        <v>0</v>
      </c>
      <c r="AC9" s="1480">
        <v>0</v>
      </c>
      <c r="AD9" s="1480">
        <v>0</v>
      </c>
      <c r="AE9" s="1480">
        <v>0</v>
      </c>
      <c r="AF9" s="1480">
        <v>0</v>
      </c>
      <c r="AG9" s="1480">
        <v>0</v>
      </c>
      <c r="AH9" s="1480">
        <v>0</v>
      </c>
      <c r="AI9" s="1480">
        <v>0</v>
      </c>
      <c r="AJ9" s="1480">
        <v>0</v>
      </c>
      <c r="AK9" s="1480">
        <v>0</v>
      </c>
      <c r="AL9" s="1480">
        <v>0</v>
      </c>
      <c r="AM9" s="1480">
        <v>0</v>
      </c>
      <c r="AN9" s="1480">
        <v>0</v>
      </c>
      <c r="AO9" s="1480">
        <v>0</v>
      </c>
      <c r="AP9" s="1480">
        <v>0</v>
      </c>
      <c r="AQ9" s="1480">
        <v>0</v>
      </c>
      <c r="AR9" s="1480">
        <v>0</v>
      </c>
      <c r="AS9" s="1480">
        <v>0</v>
      </c>
      <c r="AT9" s="1480">
        <v>0</v>
      </c>
      <c r="AU9" s="1480">
        <v>1</v>
      </c>
      <c r="AV9" s="1480">
        <v>2</v>
      </c>
      <c r="AW9" s="1480">
        <v>2</v>
      </c>
      <c r="AX9" s="1480">
        <v>2</v>
      </c>
      <c r="AY9" s="1480">
        <v>1</v>
      </c>
      <c r="AZ9" s="1480">
        <v>0</v>
      </c>
      <c r="BA9" s="1480">
        <v>0</v>
      </c>
      <c r="BB9" s="1480">
        <v>0</v>
      </c>
      <c r="BC9" s="1480">
        <v>0</v>
      </c>
      <c r="BD9" s="1480">
        <v>0</v>
      </c>
      <c r="BE9" s="1480">
        <v>0</v>
      </c>
      <c r="BF9" s="1480">
        <v>0</v>
      </c>
      <c r="BG9" s="1480">
        <v>0</v>
      </c>
      <c r="BH9" s="1480">
        <v>0</v>
      </c>
      <c r="BI9" s="1480">
        <v>0</v>
      </c>
      <c r="BJ9" s="1480">
        <v>0</v>
      </c>
      <c r="BK9" s="1480">
        <v>0</v>
      </c>
      <c r="BL9" s="1480">
        <v>0</v>
      </c>
      <c r="BM9" s="1480">
        <v>0</v>
      </c>
      <c r="BN9" s="1480">
        <v>0</v>
      </c>
      <c r="BO9" s="1480">
        <v>0</v>
      </c>
      <c r="BP9" s="1480">
        <v>0</v>
      </c>
      <c r="BQ9" s="1480">
        <v>0</v>
      </c>
      <c r="BR9" s="1480">
        <v>0</v>
      </c>
      <c r="BS9" s="1480">
        <v>0</v>
      </c>
      <c r="BT9" s="1480">
        <v>0</v>
      </c>
      <c r="BU9" s="1480">
        <v>0</v>
      </c>
      <c r="BV9" s="1480">
        <v>0</v>
      </c>
      <c r="BW9" s="1480">
        <v>0</v>
      </c>
      <c r="BX9" s="1480">
        <v>0</v>
      </c>
      <c r="BY9" s="1480">
        <v>0</v>
      </c>
      <c r="BZ9" s="1480">
        <v>0</v>
      </c>
      <c r="CA9" s="1480">
        <v>0</v>
      </c>
      <c r="CB9" s="1480">
        <v>0</v>
      </c>
      <c r="CC9" s="1480">
        <v>0</v>
      </c>
      <c r="CD9" s="1480">
        <v>0</v>
      </c>
      <c r="CE9" s="1480">
        <v>0</v>
      </c>
      <c r="CF9" s="1480">
        <v>0</v>
      </c>
      <c r="CG9" s="1480">
        <v>0</v>
      </c>
      <c r="CH9" s="1480">
        <v>0</v>
      </c>
      <c r="CI9" s="1480">
        <v>0</v>
      </c>
      <c r="CJ9" s="1480">
        <v>0</v>
      </c>
      <c r="CK9" s="1480">
        <v>0</v>
      </c>
      <c r="CL9" s="1480">
        <v>0</v>
      </c>
      <c r="CM9" s="1480">
        <v>0</v>
      </c>
      <c r="CN9" s="1480">
        <v>0</v>
      </c>
      <c r="CO9" s="1480">
        <v>0</v>
      </c>
      <c r="CP9" s="1480">
        <v>0</v>
      </c>
      <c r="CQ9" s="1480">
        <v>0</v>
      </c>
      <c r="CR9" s="1480">
        <v>0</v>
      </c>
      <c r="CS9" s="1480">
        <v>0</v>
      </c>
      <c r="CT9" s="1480">
        <v>0</v>
      </c>
      <c r="CU9" s="1480">
        <v>0</v>
      </c>
      <c r="CV9" s="1483">
        <f t="shared" ref="CV9:CV10" si="0">SUM(C9:CU9)</f>
        <v>645</v>
      </c>
    </row>
    <row r="10" spans="1:100" ht="79.5" customHeight="1" thickBot="1">
      <c r="A10" s="1484">
        <v>3</v>
      </c>
      <c r="B10" s="1485" t="s">
        <v>925</v>
      </c>
      <c r="C10" s="1486">
        <f>ROUND(((C8*8)+(C9*4))/12,0)</f>
        <v>223</v>
      </c>
      <c r="D10" s="1486">
        <f t="shared" ref="D10:BO10" si="1">ROUND(((D8*8)+(D9*4))/12,0)</f>
        <v>1</v>
      </c>
      <c r="E10" s="1486">
        <f t="shared" si="1"/>
        <v>20</v>
      </c>
      <c r="F10" s="1486">
        <f t="shared" si="1"/>
        <v>0</v>
      </c>
      <c r="G10" s="1486">
        <f t="shared" si="1"/>
        <v>0</v>
      </c>
      <c r="H10" s="1486">
        <f t="shared" si="1"/>
        <v>1</v>
      </c>
      <c r="I10" s="1486">
        <f t="shared" si="1"/>
        <v>274</v>
      </c>
      <c r="J10" s="1486">
        <f t="shared" si="1"/>
        <v>0</v>
      </c>
      <c r="K10" s="1486">
        <f t="shared" si="1"/>
        <v>33</v>
      </c>
      <c r="L10" s="1486">
        <f t="shared" si="1"/>
        <v>0</v>
      </c>
      <c r="M10" s="1486">
        <f t="shared" si="1"/>
        <v>26</v>
      </c>
      <c r="N10" s="1486">
        <f t="shared" si="1"/>
        <v>0</v>
      </c>
      <c r="O10" s="1486">
        <f t="shared" si="1"/>
        <v>0</v>
      </c>
      <c r="P10" s="1486">
        <f t="shared" si="1"/>
        <v>0</v>
      </c>
      <c r="Q10" s="1486">
        <f t="shared" si="1"/>
        <v>0</v>
      </c>
      <c r="R10" s="1486">
        <f t="shared" si="1"/>
        <v>0</v>
      </c>
      <c r="S10" s="1486">
        <f t="shared" si="1"/>
        <v>0</v>
      </c>
      <c r="T10" s="1486">
        <f t="shared" si="1"/>
        <v>57</v>
      </c>
      <c r="U10" s="1486">
        <f t="shared" si="1"/>
        <v>0</v>
      </c>
      <c r="V10" s="1486">
        <f t="shared" si="1"/>
        <v>5</v>
      </c>
      <c r="W10" s="1486">
        <f t="shared" si="1"/>
        <v>0</v>
      </c>
      <c r="X10" s="1486">
        <f t="shared" si="1"/>
        <v>0</v>
      </c>
      <c r="Y10" s="1486">
        <f t="shared" si="1"/>
        <v>0</v>
      </c>
      <c r="Z10" s="1486">
        <f t="shared" si="1"/>
        <v>0</v>
      </c>
      <c r="AA10" s="1486">
        <f t="shared" si="1"/>
        <v>0</v>
      </c>
      <c r="AB10" s="1486">
        <f t="shared" si="1"/>
        <v>0</v>
      </c>
      <c r="AC10" s="1486">
        <f t="shared" si="1"/>
        <v>0</v>
      </c>
      <c r="AD10" s="1486">
        <f t="shared" si="1"/>
        <v>0</v>
      </c>
      <c r="AE10" s="1486">
        <f t="shared" si="1"/>
        <v>0</v>
      </c>
      <c r="AF10" s="1486">
        <f t="shared" si="1"/>
        <v>0</v>
      </c>
      <c r="AG10" s="1486">
        <f t="shared" si="1"/>
        <v>0</v>
      </c>
      <c r="AH10" s="1486">
        <f t="shared" si="1"/>
        <v>0</v>
      </c>
      <c r="AI10" s="1486">
        <f t="shared" si="1"/>
        <v>0</v>
      </c>
      <c r="AJ10" s="1486">
        <f t="shared" si="1"/>
        <v>0</v>
      </c>
      <c r="AK10" s="1486">
        <f t="shared" si="1"/>
        <v>0</v>
      </c>
      <c r="AL10" s="1486">
        <f t="shared" si="1"/>
        <v>0</v>
      </c>
      <c r="AM10" s="1486">
        <f t="shared" si="1"/>
        <v>0</v>
      </c>
      <c r="AN10" s="1486">
        <f t="shared" si="1"/>
        <v>0</v>
      </c>
      <c r="AO10" s="1486">
        <f t="shared" si="1"/>
        <v>0</v>
      </c>
      <c r="AP10" s="1486">
        <f t="shared" si="1"/>
        <v>0</v>
      </c>
      <c r="AQ10" s="1486">
        <f t="shared" si="1"/>
        <v>0</v>
      </c>
      <c r="AR10" s="1486">
        <f t="shared" si="1"/>
        <v>0</v>
      </c>
      <c r="AS10" s="1486">
        <f t="shared" si="1"/>
        <v>0</v>
      </c>
      <c r="AT10" s="1486">
        <f t="shared" si="1"/>
        <v>1</v>
      </c>
      <c r="AU10" s="1486">
        <f t="shared" si="1"/>
        <v>1</v>
      </c>
      <c r="AV10" s="1486">
        <f t="shared" si="1"/>
        <v>2</v>
      </c>
      <c r="AW10" s="1486">
        <f t="shared" si="1"/>
        <v>2</v>
      </c>
      <c r="AX10" s="1486">
        <f t="shared" si="1"/>
        <v>3</v>
      </c>
      <c r="AY10" s="1486">
        <f t="shared" si="1"/>
        <v>1</v>
      </c>
      <c r="AZ10" s="1486">
        <f t="shared" si="1"/>
        <v>0</v>
      </c>
      <c r="BA10" s="1486">
        <f t="shared" si="1"/>
        <v>1</v>
      </c>
      <c r="BB10" s="1486">
        <f t="shared" si="1"/>
        <v>0</v>
      </c>
      <c r="BC10" s="1486">
        <f t="shared" si="1"/>
        <v>0</v>
      </c>
      <c r="BD10" s="1486">
        <f t="shared" si="1"/>
        <v>0</v>
      </c>
      <c r="BE10" s="1486">
        <f t="shared" si="1"/>
        <v>0</v>
      </c>
      <c r="BF10" s="1486">
        <f t="shared" si="1"/>
        <v>0</v>
      </c>
      <c r="BG10" s="1486">
        <f t="shared" si="1"/>
        <v>0</v>
      </c>
      <c r="BH10" s="1486">
        <f t="shared" si="1"/>
        <v>0</v>
      </c>
      <c r="BI10" s="1486">
        <f t="shared" si="1"/>
        <v>0</v>
      </c>
      <c r="BJ10" s="1486">
        <f t="shared" si="1"/>
        <v>0</v>
      </c>
      <c r="BK10" s="1486">
        <f t="shared" si="1"/>
        <v>0</v>
      </c>
      <c r="BL10" s="1486">
        <f t="shared" si="1"/>
        <v>0</v>
      </c>
      <c r="BM10" s="1486">
        <f t="shared" si="1"/>
        <v>0</v>
      </c>
      <c r="BN10" s="1486">
        <f t="shared" si="1"/>
        <v>0</v>
      </c>
      <c r="BO10" s="1486">
        <f t="shared" si="1"/>
        <v>0</v>
      </c>
      <c r="BP10" s="1486">
        <f t="shared" ref="BP10:CU10" si="2">ROUND(((BP8*8)+(BP9*4))/12,0)</f>
        <v>0</v>
      </c>
      <c r="BQ10" s="1486">
        <f t="shared" si="2"/>
        <v>0</v>
      </c>
      <c r="BR10" s="1486">
        <f t="shared" si="2"/>
        <v>0</v>
      </c>
      <c r="BS10" s="1486">
        <f t="shared" si="2"/>
        <v>0</v>
      </c>
      <c r="BT10" s="1486">
        <f t="shared" si="2"/>
        <v>0</v>
      </c>
      <c r="BU10" s="1486">
        <f t="shared" si="2"/>
        <v>0</v>
      </c>
      <c r="BV10" s="1486">
        <f t="shared" si="2"/>
        <v>0</v>
      </c>
      <c r="BW10" s="1486">
        <f t="shared" si="2"/>
        <v>0</v>
      </c>
      <c r="BX10" s="1486">
        <f t="shared" si="2"/>
        <v>0</v>
      </c>
      <c r="BY10" s="1486">
        <f t="shared" si="2"/>
        <v>0</v>
      </c>
      <c r="BZ10" s="1486">
        <f t="shared" si="2"/>
        <v>0</v>
      </c>
      <c r="CA10" s="1486">
        <f t="shared" si="2"/>
        <v>0</v>
      </c>
      <c r="CB10" s="1486">
        <f t="shared" si="2"/>
        <v>0</v>
      </c>
      <c r="CC10" s="1486">
        <f t="shared" si="2"/>
        <v>0</v>
      </c>
      <c r="CD10" s="1486">
        <f t="shared" si="2"/>
        <v>0</v>
      </c>
      <c r="CE10" s="1486">
        <f t="shared" si="2"/>
        <v>0</v>
      </c>
      <c r="CF10" s="1486">
        <f t="shared" si="2"/>
        <v>0</v>
      </c>
      <c r="CG10" s="1486">
        <f t="shared" si="2"/>
        <v>0</v>
      </c>
      <c r="CH10" s="1486">
        <f t="shared" si="2"/>
        <v>0</v>
      </c>
      <c r="CI10" s="1486">
        <f t="shared" si="2"/>
        <v>0</v>
      </c>
      <c r="CJ10" s="1486">
        <f t="shared" si="2"/>
        <v>0</v>
      </c>
      <c r="CK10" s="1486">
        <f t="shared" si="2"/>
        <v>0</v>
      </c>
      <c r="CL10" s="1486">
        <f t="shared" si="2"/>
        <v>0</v>
      </c>
      <c r="CM10" s="1486">
        <f t="shared" si="2"/>
        <v>0</v>
      </c>
      <c r="CN10" s="1486">
        <f t="shared" si="2"/>
        <v>0</v>
      </c>
      <c r="CO10" s="1486">
        <f t="shared" si="2"/>
        <v>0</v>
      </c>
      <c r="CP10" s="1486">
        <f t="shared" si="2"/>
        <v>0</v>
      </c>
      <c r="CQ10" s="1486">
        <f t="shared" si="2"/>
        <v>0</v>
      </c>
      <c r="CR10" s="1486">
        <f t="shared" si="2"/>
        <v>0</v>
      </c>
      <c r="CS10" s="1486">
        <f t="shared" si="2"/>
        <v>0</v>
      </c>
      <c r="CT10" s="1486">
        <f t="shared" si="2"/>
        <v>0</v>
      </c>
      <c r="CU10" s="1486">
        <f t="shared" si="2"/>
        <v>0</v>
      </c>
      <c r="CV10" s="1487">
        <f t="shared" si="0"/>
        <v>651</v>
      </c>
    </row>
    <row r="12" spans="1:100" ht="13.5" customHeight="1">
      <c r="B12" s="1855" t="s">
        <v>911</v>
      </c>
      <c r="C12" s="1856"/>
      <c r="K12" s="1860" t="s">
        <v>912</v>
      </c>
      <c r="L12" s="1860"/>
      <c r="M12" s="1860"/>
      <c r="N12" s="1860"/>
      <c r="O12" s="1860"/>
      <c r="P12" s="1860"/>
      <c r="Q12" s="1860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</row>
    <row r="13" spans="1:100" ht="15.75" customHeight="1">
      <c r="B13" s="1463"/>
      <c r="K13" s="1877" t="s">
        <v>913</v>
      </c>
      <c r="L13" s="1877"/>
      <c r="M13" s="1877"/>
      <c r="N13" s="1877"/>
      <c r="O13" s="1877"/>
      <c r="P13" s="1877"/>
      <c r="Q13" s="1877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</row>
    <row r="14" spans="1:100" ht="13.5" customHeight="1">
      <c r="B14" s="1855" t="s">
        <v>914</v>
      </c>
      <c r="C14" s="1856"/>
      <c r="K14" s="1860" t="s">
        <v>912</v>
      </c>
      <c r="L14" s="1860"/>
      <c r="M14" s="1860"/>
      <c r="N14" s="1860"/>
      <c r="O14" s="1860"/>
      <c r="P14" s="1860"/>
      <c r="Q14" s="1860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</row>
    <row r="15" spans="1:100" ht="15.75" customHeight="1">
      <c r="B15" s="1475"/>
      <c r="K15" s="1877" t="s">
        <v>913</v>
      </c>
      <c r="L15" s="1877"/>
      <c r="M15" s="1877"/>
      <c r="N15" s="1877"/>
      <c r="O15" s="1877"/>
      <c r="P15" s="1877"/>
      <c r="Q15" s="1877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</row>
    <row r="17" spans="2:99" ht="15.75">
      <c r="B17" s="1476" t="s">
        <v>916</v>
      </c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</row>
    <row r="18" spans="2:99" ht="16.5" customHeight="1">
      <c r="B18" s="1893" t="s">
        <v>915</v>
      </c>
      <c r="C18" s="1856"/>
      <c r="D18" s="1856"/>
      <c r="K18" s="1860" t="s">
        <v>912</v>
      </c>
      <c r="L18" s="1860"/>
      <c r="M18" s="1860"/>
      <c r="N18" s="1860"/>
      <c r="O18" s="1860"/>
      <c r="P18" s="1860"/>
      <c r="Q18" s="1860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2:99" ht="15.75">
      <c r="K19" s="1877" t="s">
        <v>913</v>
      </c>
      <c r="L19" s="1877"/>
      <c r="M19" s="1877"/>
      <c r="N19" s="1877"/>
      <c r="O19" s="1877"/>
      <c r="P19" s="1877"/>
      <c r="Q19" s="1877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1" spans="2:99" ht="13.5">
      <c r="B21" s="1855" t="s">
        <v>921</v>
      </c>
      <c r="C21" s="1856"/>
    </row>
    <row r="22" spans="2:99" ht="13.5" customHeight="1"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4" spans="2:99" ht="15.75">
      <c r="B24" s="1463"/>
      <c r="C24" s="1860"/>
      <c r="D24" s="1861"/>
      <c r="E24" s="1861"/>
      <c r="F24" s="1861"/>
      <c r="G24" s="1861"/>
      <c r="H24" s="1861"/>
      <c r="I24" s="1861"/>
      <c r="J24" s="1861"/>
      <c r="K24" s="1470"/>
    </row>
    <row r="25" spans="2:99">
      <c r="D25" s="1477"/>
      <c r="E25" s="1477"/>
      <c r="F25" s="1477"/>
      <c r="G25" s="1477"/>
      <c r="H25" s="1477"/>
      <c r="I25" s="1477"/>
      <c r="J25" s="1477"/>
      <c r="K25" s="1470"/>
    </row>
    <row r="26" spans="2:99" ht="15.75">
      <c r="B26" s="1463"/>
      <c r="C26" s="1464"/>
      <c r="D26" s="1464"/>
      <c r="E26" s="1471"/>
      <c r="F26" s="1464"/>
      <c r="G26" s="1464"/>
      <c r="H26" s="1464"/>
      <c r="I26" s="1465"/>
      <c r="J26" s="1465"/>
      <c r="K26" s="1465"/>
    </row>
    <row r="27" spans="2:99" ht="15.75">
      <c r="B27" s="1463"/>
      <c r="C27" s="1464"/>
      <c r="D27" s="1464"/>
      <c r="E27" s="1471"/>
      <c r="F27" s="1464"/>
      <c r="G27" s="1464"/>
      <c r="H27" s="1464"/>
      <c r="I27" s="1465"/>
      <c r="J27" s="1465"/>
      <c r="K27" s="1465"/>
    </row>
    <row r="28" spans="2:99" ht="15.75">
      <c r="B28" s="1463"/>
      <c r="C28" s="1860"/>
      <c r="D28" s="1861"/>
      <c r="E28" s="1861"/>
      <c r="F28" s="1861"/>
      <c r="G28" s="1861"/>
      <c r="H28" s="1861"/>
      <c r="I28" s="1861"/>
      <c r="J28" s="1861"/>
      <c r="K28" s="1470"/>
    </row>
    <row r="29" spans="2:99" ht="15.75">
      <c r="B29" s="1466"/>
      <c r="C29" s="1877"/>
      <c r="D29" s="1861"/>
      <c r="E29" s="1861"/>
      <c r="F29" s="1861"/>
      <c r="G29" s="1861"/>
      <c r="H29" s="1861"/>
      <c r="I29" s="1861"/>
      <c r="J29" s="1861"/>
      <c r="K29" s="1470"/>
    </row>
    <row r="30" spans="2:99" ht="15.75">
      <c r="B30" s="1466"/>
      <c r="C30" s="1464"/>
      <c r="D30" s="1464"/>
      <c r="E30" s="1471"/>
      <c r="F30" s="1464"/>
      <c r="G30" s="1464"/>
      <c r="H30" s="1464"/>
      <c r="I30" s="1465"/>
      <c r="J30" s="1465"/>
      <c r="K30" s="1465"/>
    </row>
  </sheetData>
  <mergeCells count="62">
    <mergeCell ref="K19:Q19"/>
    <mergeCell ref="B12:C12"/>
    <mergeCell ref="B14:C14"/>
    <mergeCell ref="B18:D18"/>
    <mergeCell ref="K12:Q12"/>
    <mergeCell ref="K13:Q13"/>
    <mergeCell ref="K14:Q14"/>
    <mergeCell ref="K15:Q15"/>
    <mergeCell ref="K18:Q18"/>
    <mergeCell ref="AW6:AY6"/>
    <mergeCell ref="B2:X2"/>
    <mergeCell ref="B1:X1"/>
    <mergeCell ref="CD4:CL5"/>
    <mergeCell ref="CM4:CU5"/>
    <mergeCell ref="C5:P5"/>
    <mergeCell ref="AI5:AL5"/>
    <mergeCell ref="BL5:BN5"/>
    <mergeCell ref="BO5:BW5"/>
    <mergeCell ref="BX5:CC5"/>
    <mergeCell ref="C3:AC3"/>
    <mergeCell ref="Q5:Y5"/>
    <mergeCell ref="Z5:AH5"/>
    <mergeCell ref="CJ6:CL6"/>
    <mergeCell ref="CM6:CO6"/>
    <mergeCell ref="CP6:CR6"/>
    <mergeCell ref="W6:Y6"/>
    <mergeCell ref="Z6:AB6"/>
    <mergeCell ref="AC6:AE6"/>
    <mergeCell ref="AF6:AH6"/>
    <mergeCell ref="AT6:AV6"/>
    <mergeCell ref="C29:J29"/>
    <mergeCell ref="CG6:CI6"/>
    <mergeCell ref="BL6:BN6"/>
    <mergeCell ref="AI6:AK6"/>
    <mergeCell ref="AM6:AP6"/>
    <mergeCell ref="C6:H6"/>
    <mergeCell ref="I6:L6"/>
    <mergeCell ref="M6:P6"/>
    <mergeCell ref="BI6:BK6"/>
    <mergeCell ref="BC6:BE6"/>
    <mergeCell ref="C24:J24"/>
    <mergeCell ref="BO6:BQ6"/>
    <mergeCell ref="BR6:BT6"/>
    <mergeCell ref="BU6:BW6"/>
    <mergeCell ref="BX6:BZ6"/>
    <mergeCell ref="CA6:CC6"/>
    <mergeCell ref="A4:A7"/>
    <mergeCell ref="B4:B7"/>
    <mergeCell ref="B21:C21"/>
    <mergeCell ref="CV4:CV6"/>
    <mergeCell ref="C28:J28"/>
    <mergeCell ref="BC5:BK5"/>
    <mergeCell ref="CS6:CU6"/>
    <mergeCell ref="CD6:CF6"/>
    <mergeCell ref="AZ6:BB6"/>
    <mergeCell ref="BF6:BH6"/>
    <mergeCell ref="BO4:CC4"/>
    <mergeCell ref="AM5:AR5"/>
    <mergeCell ref="AT5:BB5"/>
    <mergeCell ref="C4:BN4"/>
    <mergeCell ref="Q6:S6"/>
    <mergeCell ref="T6:V6"/>
  </mergeCells>
  <pageMargins left="0" right="0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Смарт 2015</vt:lpstr>
      <vt:lpstr>Нормативы</vt:lpstr>
      <vt:lpstr>Методика 2016</vt:lpstr>
      <vt:lpstr>Численность 2016</vt:lpstr>
      <vt:lpstr>Фонды2015-2017</vt:lpstr>
      <vt:lpstr>старое не смотреть</vt:lpstr>
      <vt:lpstr>не смотреть Субвенции 2017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 Вячеславовна</cp:lastModifiedBy>
  <cp:lastPrinted>2023-03-20T06:45:41Z</cp:lastPrinted>
  <dcterms:created xsi:type="dcterms:W3CDTF">2016-02-19T13:25:14Z</dcterms:created>
  <dcterms:modified xsi:type="dcterms:W3CDTF">2023-03-21T11:56:17Z</dcterms:modified>
</cp:coreProperties>
</file>